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5" yWindow="-15" windowWidth="17400" windowHeight="7575"/>
  </bookViews>
  <sheets>
    <sheet name="Tier II or IIA Calculator" sheetId="2" r:id="rId1"/>
    <sheet name="Full Ret. Elib. Tester" sheetId="3" r:id="rId2"/>
  </sheets>
  <calcPr calcId="114210" fullPrecision="0"/>
</workbook>
</file>

<file path=xl/calcChain.xml><?xml version="1.0" encoding="utf-8"?>
<calcChain xmlns="http://schemas.openxmlformats.org/spreadsheetml/2006/main">
  <c r="G7" i="2"/>
  <c r="G6"/>
  <c r="G5"/>
  <c r="Q62"/>
  <c r="Q61"/>
  <c r="Q60"/>
  <c r="Q59"/>
  <c r="Q58"/>
  <c r="Q57"/>
  <c r="Q56"/>
  <c r="Q55"/>
  <c r="Q54"/>
  <c r="Q53"/>
  <c r="Q52"/>
  <c r="Q51"/>
  <c r="Q50"/>
  <c r="Q49"/>
  <c r="Q48"/>
  <c r="Q47"/>
  <c r="Q46"/>
  <c r="Q45"/>
  <c r="Q44"/>
  <c r="Q43"/>
  <c r="Q42"/>
  <c r="Q41"/>
  <c r="Q40"/>
  <c r="Q39"/>
  <c r="Q38"/>
  <c r="Q37"/>
  <c r="Q36"/>
  <c r="Q35"/>
  <c r="Q34"/>
  <c r="Q33"/>
  <c r="Q32"/>
  <c r="Q31"/>
  <c r="Q30"/>
  <c r="Q29"/>
  <c r="Q28"/>
  <c r="Q27"/>
  <c r="M28"/>
  <c r="M29"/>
  <c r="M30"/>
  <c r="M31"/>
  <c r="M32"/>
  <c r="M33"/>
  <c r="M34"/>
  <c r="M35"/>
  <c r="M36"/>
  <c r="M37"/>
  <c r="M38"/>
  <c r="M39"/>
  <c r="M40"/>
  <c r="M41"/>
  <c r="M42"/>
  <c r="M43"/>
  <c r="M44"/>
  <c r="M45"/>
  <c r="M46"/>
  <c r="M47"/>
  <c r="M48"/>
  <c r="M49"/>
  <c r="M50"/>
  <c r="M51"/>
  <c r="M52"/>
  <c r="M53"/>
  <c r="M54"/>
  <c r="M55"/>
  <c r="M56"/>
  <c r="M57"/>
  <c r="M58"/>
  <c r="M59"/>
  <c r="M60"/>
  <c r="M61"/>
  <c r="M62"/>
  <c r="L28"/>
  <c r="L29"/>
  <c r="L27"/>
  <c r="M27"/>
  <c r="P28"/>
  <c r="P29"/>
  <c r="P30"/>
  <c r="P31"/>
  <c r="P32"/>
  <c r="P33"/>
  <c r="P34"/>
  <c r="P35"/>
  <c r="P36"/>
  <c r="P37"/>
  <c r="P38"/>
  <c r="P39"/>
  <c r="P40"/>
  <c r="P41"/>
  <c r="P42"/>
  <c r="P43"/>
  <c r="P44"/>
  <c r="P45"/>
  <c r="P46"/>
  <c r="P47"/>
  <c r="P48"/>
  <c r="P49"/>
  <c r="P50"/>
  <c r="P51"/>
  <c r="P52"/>
  <c r="P53"/>
  <c r="P54"/>
  <c r="P55"/>
  <c r="P56"/>
  <c r="P57"/>
  <c r="P58"/>
  <c r="P59"/>
  <c r="P60"/>
  <c r="P61"/>
  <c r="P62"/>
  <c r="P27"/>
  <c r="D7"/>
  <c r="AF7"/>
  <c r="D6"/>
  <c r="AE6"/>
  <c r="D5"/>
  <c r="AF5"/>
  <c r="F3"/>
  <c r="B6"/>
  <c r="C15" i="3"/>
  <c r="C16"/>
  <c r="E17"/>
  <c r="F17"/>
  <c r="E16"/>
  <c r="F16"/>
  <c r="E15"/>
  <c r="F15"/>
  <c r="E14"/>
  <c r="D17"/>
  <c r="D16"/>
  <c r="D15"/>
  <c r="D14"/>
  <c r="P26" i="2"/>
  <c r="N26"/>
  <c r="O26"/>
  <c r="Q26"/>
  <c r="P25"/>
  <c r="N25"/>
  <c r="O25"/>
  <c r="Q25"/>
  <c r="P24"/>
  <c r="N24"/>
  <c r="O24"/>
  <c r="Q24"/>
  <c r="P23"/>
  <c r="N23"/>
  <c r="O23"/>
  <c r="Q23"/>
  <c r="P22"/>
  <c r="N22"/>
  <c r="O22"/>
  <c r="Q22"/>
  <c r="P21"/>
  <c r="N21"/>
  <c r="O21"/>
  <c r="Q21"/>
  <c r="P20"/>
  <c r="N20"/>
  <c r="O20"/>
  <c r="Q20"/>
  <c r="P19"/>
  <c r="N19"/>
  <c r="O19"/>
  <c r="Q19"/>
  <c r="P18"/>
  <c r="N18"/>
  <c r="O18"/>
  <c r="Q18"/>
  <c r="P17"/>
  <c r="N17"/>
  <c r="O17"/>
  <c r="Q17"/>
  <c r="P16"/>
  <c r="N16"/>
  <c r="O16"/>
  <c r="Q16"/>
  <c r="P15"/>
  <c r="N15"/>
  <c r="O15"/>
  <c r="Q15"/>
  <c r="P14"/>
  <c r="N14"/>
  <c r="O14"/>
  <c r="Q14"/>
  <c r="P13"/>
  <c r="N13"/>
  <c r="O13"/>
  <c r="Q13"/>
  <c r="P12"/>
  <c r="N12"/>
  <c r="O12"/>
  <c r="Q12"/>
  <c r="P11"/>
  <c r="N11"/>
  <c r="O11"/>
  <c r="Q11"/>
  <c r="P10"/>
  <c r="N10"/>
  <c r="O10"/>
  <c r="Q10"/>
  <c r="P9"/>
  <c r="N9"/>
  <c r="O9"/>
  <c r="Q9"/>
  <c r="P8"/>
  <c r="N8"/>
  <c r="O8"/>
  <c r="Q8"/>
  <c r="P7"/>
  <c r="N7"/>
  <c r="O7"/>
  <c r="Q7"/>
  <c r="P6"/>
  <c r="N6"/>
  <c r="O6"/>
  <c r="Q6"/>
  <c r="P5"/>
  <c r="O5"/>
  <c r="Q5"/>
  <c r="L30"/>
  <c r="N29"/>
  <c r="O29"/>
  <c r="N28"/>
  <c r="O28"/>
  <c r="N27"/>
  <c r="O27"/>
  <c r="H6"/>
  <c r="AE7"/>
  <c r="AF6"/>
  <c r="AE5"/>
  <c r="B5"/>
  <c r="B7"/>
  <c r="H7"/>
  <c r="S5"/>
  <c r="S12"/>
  <c r="F14" i="3"/>
  <c r="G14"/>
  <c r="I14"/>
  <c r="H16"/>
  <c r="C17"/>
  <c r="G17"/>
  <c r="I17"/>
  <c r="H15"/>
  <c r="H17"/>
  <c r="G15"/>
  <c r="I15"/>
  <c r="G16"/>
  <c r="I16"/>
  <c r="H14"/>
  <c r="H5" i="2"/>
  <c r="L31"/>
  <c r="N30"/>
  <c r="O30"/>
  <c r="S8"/>
  <c r="S13"/>
  <c r="S10"/>
  <c r="S7"/>
  <c r="S14"/>
  <c r="S6"/>
  <c r="S9"/>
  <c r="S11"/>
  <c r="J16" i="3"/>
  <c r="K16"/>
  <c r="F6" i="2"/>
  <c r="J6"/>
  <c r="J14" i="3"/>
  <c r="K14"/>
  <c r="J15"/>
  <c r="K15"/>
  <c r="F5" i="2"/>
  <c r="J5"/>
  <c r="J17" i="3"/>
  <c r="K17"/>
  <c r="F7" i="2"/>
  <c r="J7"/>
  <c r="N31"/>
  <c r="O31"/>
  <c r="L32"/>
  <c r="I7"/>
  <c r="K7"/>
  <c r="I6"/>
  <c r="K6"/>
  <c r="I5"/>
  <c r="K5"/>
  <c r="L33"/>
  <c r="N32"/>
  <c r="O32"/>
  <c r="L34"/>
  <c r="N33"/>
  <c r="O33"/>
  <c r="L35"/>
  <c r="N34"/>
  <c r="O34"/>
  <c r="N35"/>
  <c r="O35"/>
  <c r="L36"/>
  <c r="L37"/>
  <c r="N36"/>
  <c r="O36"/>
  <c r="L38"/>
  <c r="N37"/>
  <c r="O37"/>
  <c r="L39"/>
  <c r="N38"/>
  <c r="O38"/>
  <c r="N39"/>
  <c r="O39"/>
  <c r="L40"/>
  <c r="L41"/>
  <c r="N40"/>
  <c r="O40"/>
  <c r="L42"/>
  <c r="N41"/>
  <c r="O41"/>
  <c r="L43"/>
  <c r="N42"/>
  <c r="O42"/>
  <c r="N43"/>
  <c r="O43"/>
  <c r="L44"/>
  <c r="L45"/>
  <c r="N44"/>
  <c r="O44"/>
  <c r="L46"/>
  <c r="N45"/>
  <c r="O45"/>
  <c r="L47"/>
  <c r="N46"/>
  <c r="O46"/>
  <c r="N47"/>
  <c r="O47"/>
  <c r="L48"/>
  <c r="L49"/>
  <c r="N48"/>
  <c r="O48"/>
  <c r="L50"/>
  <c r="N49"/>
  <c r="O49"/>
  <c r="L51"/>
  <c r="N50"/>
  <c r="O50"/>
  <c r="N51"/>
  <c r="O51"/>
  <c r="L52"/>
  <c r="L53"/>
  <c r="N52"/>
  <c r="O52"/>
  <c r="L54"/>
  <c r="N53"/>
  <c r="O53"/>
  <c r="L55"/>
  <c r="N54"/>
  <c r="O54"/>
  <c r="N55"/>
  <c r="O55"/>
  <c r="L56"/>
  <c r="L57"/>
  <c r="N56"/>
  <c r="O56"/>
  <c r="L58"/>
  <c r="N57"/>
  <c r="O57"/>
  <c r="L59"/>
  <c r="N58"/>
  <c r="O58"/>
  <c r="N59"/>
  <c r="O59"/>
  <c r="L60"/>
  <c r="L61"/>
  <c r="N60"/>
  <c r="O60"/>
  <c r="L62"/>
  <c r="N62"/>
  <c r="O62"/>
  <c r="N61"/>
  <c r="O61"/>
</calcChain>
</file>

<file path=xl/sharedStrings.xml><?xml version="1.0" encoding="utf-8"?>
<sst xmlns="http://schemas.openxmlformats.org/spreadsheetml/2006/main" count="38" uniqueCount="38">
  <si>
    <t>Breakpoint Increase</t>
  </si>
  <si>
    <t>Total Yearly Pension</t>
  </si>
  <si>
    <t>Estimated Final Average Earnings -- Assum. Above Increases</t>
  </si>
  <si>
    <t>per cent</t>
  </si>
  <si>
    <t>C Age</t>
  </si>
  <si>
    <t>C Serv</t>
  </si>
  <si>
    <t>Ret Year</t>
  </si>
  <si>
    <t>Diff</t>
  </si>
  <si>
    <t>F Age</t>
  </si>
  <si>
    <t>Fin Serv</t>
  </si>
  <si>
    <t>Age Cat</t>
  </si>
  <si>
    <t>Adj Ser</t>
  </si>
  <si>
    <t xml:space="preserve">Test </t>
  </si>
  <si>
    <t>Test for Full Retirement Eligibility</t>
  </si>
  <si>
    <t>Full Percentage</t>
  </si>
  <si>
    <t>10ths of Perc.</t>
  </si>
  <si>
    <t>whole</t>
  </si>
  <si>
    <t>10ths</t>
  </si>
  <si>
    <t>Additional  Pension Over Breakpoint</t>
  </si>
  <si>
    <t>Pension from
 1 1/3%  
Multiplier</t>
  </si>
  <si>
    <t>Pension From Years Over 35</t>
  </si>
  <si>
    <t>Standard Years</t>
  </si>
  <si>
    <t>Over 35 years</t>
  </si>
  <si>
    <t>Years at Retire-ment</t>
  </si>
  <si>
    <r>
      <t xml:space="preserve">This Calulator is for Quick Illustration Purposes Only.  Actual Pension Will Use Far More Precision in Terms of Years of Service , will apply rules concerning vesting and purchase of service, and will use actual Final Average Earnings.  This Calculator Does Not Cover Early or Disability Retirement, nor the reduction from Spousal Options.   </t>
    </r>
    <r>
      <rPr>
        <b/>
        <i/>
        <sz val="14"/>
        <color indexed="8"/>
        <rFont val="Calibri"/>
        <family val="2"/>
      </rPr>
      <t xml:space="preserve">More accurate and detailed information can be found by contacting the Retirement Division at 860-702-3341, or following website links at </t>
    </r>
    <r>
      <rPr>
        <b/>
        <i/>
        <sz val="14"/>
        <color indexed="62"/>
        <rFont val="Calibri"/>
        <family val="2"/>
      </rPr>
      <t>http://www.osc.state.ct.us/empret/</t>
    </r>
    <r>
      <rPr>
        <b/>
        <i/>
        <sz val="14"/>
        <color indexed="9"/>
        <rFont val="Calibri"/>
        <family val="2"/>
      </rPr>
      <t xml:space="preserve">.  </t>
    </r>
    <r>
      <rPr>
        <b/>
        <i/>
        <sz val="14"/>
        <color indexed="60"/>
        <rFont val="Calibri"/>
        <family val="2"/>
      </rPr>
      <t xml:space="preserve">The Current Pension Agreement Expires On June 30, 2017. </t>
    </r>
    <r>
      <rPr>
        <b/>
        <i/>
        <sz val="14"/>
        <color indexed="9"/>
        <rFont val="Calibri"/>
        <family val="2"/>
      </rPr>
      <t xml:space="preserve">  </t>
    </r>
  </si>
  <si>
    <r>
      <rPr>
        <b/>
        <sz val="20"/>
        <color indexed="8"/>
        <rFont val="Calibri"/>
        <family val="2"/>
      </rPr>
      <t>Tier II/IIA Pension at or Past Full Normal Retirement Age</t>
    </r>
    <r>
      <rPr>
        <b/>
        <sz val="18"/>
        <color indexed="8"/>
        <rFont val="Calibri"/>
        <family val="2"/>
      </rPr>
      <t xml:space="preserve">
 (At Least Age 60 with Service of 25 years, 62 with Service of 10 years, or 70 with Service of 5 years)</t>
    </r>
  </si>
  <si>
    <r>
      <t xml:space="preserve">Age at end of Current Year </t>
    </r>
    <r>
      <rPr>
        <b/>
        <sz val="16"/>
        <color indexed="8"/>
        <rFont val="Wingdings"/>
        <charset val="2"/>
      </rPr>
      <t>è</t>
    </r>
  </si>
  <si>
    <r>
      <t xml:space="preserve">Assumed annual wage percentage  increase </t>
    </r>
    <r>
      <rPr>
        <b/>
        <sz val="12"/>
        <color indexed="8"/>
        <rFont val="Wingdings"/>
        <charset val="2"/>
      </rPr>
      <t>è</t>
    </r>
  </si>
  <si>
    <r>
      <t>Enter Current Year</t>
    </r>
    <r>
      <rPr>
        <b/>
        <sz val="14"/>
        <color indexed="8"/>
        <rFont val="Wingdings"/>
        <charset val="2"/>
      </rPr>
      <t>è</t>
    </r>
  </si>
  <si>
    <r>
      <t>Modify Wage Increase Assumptions Below</t>
    </r>
    <r>
      <rPr>
        <b/>
        <sz val="11"/>
        <color indexed="56"/>
        <rFont val="Wingdings"/>
        <charset val="2"/>
      </rPr>
      <t>ê</t>
    </r>
  </si>
  <si>
    <r>
      <t>Assumed Average Wage Increases
 (including step movements if applicable)</t>
    </r>
    <r>
      <rPr>
        <b/>
        <sz val="14"/>
        <color indexed="8"/>
        <rFont val="Wingdings"/>
        <charset val="2"/>
      </rPr>
      <t>ê</t>
    </r>
  </si>
  <si>
    <r>
      <t>Years Service Current Year End</t>
    </r>
    <r>
      <rPr>
        <sz val="11"/>
        <color indexed="8"/>
        <rFont val="Wingdings"/>
        <charset val="2"/>
      </rPr>
      <t>ê</t>
    </r>
  </si>
  <si>
    <r>
      <t xml:space="preserve">Expected Retire-ment Year
 </t>
    </r>
    <r>
      <rPr>
        <sz val="11"/>
        <color indexed="8"/>
        <rFont val="Wingdings"/>
        <charset val="2"/>
      </rPr>
      <t>ê</t>
    </r>
  </si>
  <si>
    <r>
      <t>Final Average Earnings If Retiring End of Current Year</t>
    </r>
    <r>
      <rPr>
        <sz val="11"/>
        <color indexed="8"/>
        <rFont val="Wingdings"/>
        <charset val="2"/>
      </rPr>
      <t>ê</t>
    </r>
  </si>
  <si>
    <t xml:space="preserve">Tier II/IIA Break Point* </t>
  </si>
  <si>
    <t xml:space="preserve">Benefit estimate for  distant retirement dates is   highly  sensitive to the accuracy of this  estimation </t>
  </si>
  <si>
    <t>*Tier II/IIA  Breakpoint Increases at 6% per year, subject to a cap.  The cap must be figured yearly, and is not considered here.  If cap is implicated, Tier II/IIA beneftis may be higher than shown here</t>
  </si>
  <si>
    <t>Breakpoint Increases</t>
  </si>
</sst>
</file>

<file path=xl/styles.xml><?xml version="1.0" encoding="utf-8"?>
<styleSheet xmlns="http://schemas.openxmlformats.org/spreadsheetml/2006/main">
  <numFmts count="2">
    <numFmt numFmtId="164" formatCode="&quot;$&quot;#,##0.00"/>
    <numFmt numFmtId="165" formatCode=".0"/>
  </numFmts>
  <fonts count="25">
    <font>
      <sz val="11"/>
      <color theme="1"/>
      <name val="Calibri"/>
      <family val="2"/>
      <scheme val="minor"/>
    </font>
    <font>
      <sz val="11"/>
      <color indexed="63"/>
      <name val="Calibri"/>
      <family val="2"/>
    </font>
    <font>
      <b/>
      <sz val="11"/>
      <color indexed="8"/>
      <name val="Calibri"/>
      <family val="2"/>
    </font>
    <font>
      <sz val="11"/>
      <color indexed="10"/>
      <name val="Calibri"/>
      <family val="2"/>
    </font>
    <font>
      <b/>
      <sz val="18"/>
      <color indexed="8"/>
      <name val="Calibri"/>
      <family val="2"/>
    </font>
    <font>
      <b/>
      <i/>
      <sz val="14"/>
      <color indexed="8"/>
      <name val="Calibri"/>
      <family val="2"/>
    </font>
    <font>
      <b/>
      <i/>
      <sz val="11"/>
      <color indexed="10"/>
      <name val="Calibri"/>
      <family val="2"/>
    </font>
    <font>
      <b/>
      <sz val="11"/>
      <color indexed="9"/>
      <name val="Calibri"/>
      <family val="2"/>
    </font>
    <font>
      <sz val="11"/>
      <color indexed="9"/>
      <name val="Calibri"/>
      <family val="2"/>
    </font>
    <font>
      <b/>
      <sz val="16"/>
      <color indexed="8"/>
      <name val="Calibri"/>
      <family val="2"/>
    </font>
    <font>
      <b/>
      <sz val="16"/>
      <color indexed="9"/>
      <name val="Calibri"/>
      <family val="2"/>
    </font>
    <font>
      <b/>
      <i/>
      <sz val="16"/>
      <color indexed="8"/>
      <name val="Calibri"/>
      <family val="2"/>
    </font>
    <font>
      <b/>
      <sz val="14"/>
      <color indexed="8"/>
      <name val="Calibri"/>
      <family val="2"/>
    </font>
    <font>
      <b/>
      <sz val="12"/>
      <color indexed="8"/>
      <name val="Calibri"/>
      <family val="2"/>
    </font>
    <font>
      <b/>
      <i/>
      <sz val="11"/>
      <color indexed="56"/>
      <name val="Calibri"/>
      <family val="2"/>
    </font>
    <font>
      <b/>
      <i/>
      <sz val="14"/>
      <color indexed="9"/>
      <name val="Calibri"/>
      <family val="2"/>
    </font>
    <font>
      <sz val="11"/>
      <name val="Calibri"/>
      <family val="2"/>
    </font>
    <font>
      <b/>
      <sz val="20"/>
      <color indexed="8"/>
      <name val="Calibri"/>
      <family val="2"/>
    </font>
    <font>
      <b/>
      <i/>
      <sz val="14"/>
      <color indexed="62"/>
      <name val="Calibri"/>
      <family val="2"/>
    </font>
    <font>
      <b/>
      <i/>
      <sz val="14"/>
      <color indexed="60"/>
      <name val="Calibri"/>
      <family val="2"/>
    </font>
    <font>
      <b/>
      <sz val="16"/>
      <color indexed="8"/>
      <name val="Wingdings"/>
      <charset val="2"/>
    </font>
    <font>
      <b/>
      <sz val="12"/>
      <color indexed="8"/>
      <name val="Wingdings"/>
      <charset val="2"/>
    </font>
    <font>
      <b/>
      <sz val="14"/>
      <color indexed="8"/>
      <name val="Wingdings"/>
      <charset val="2"/>
    </font>
    <font>
      <b/>
      <sz val="11"/>
      <color indexed="56"/>
      <name val="Wingdings"/>
      <charset val="2"/>
    </font>
    <font>
      <sz val="11"/>
      <color indexed="8"/>
      <name val="Wingdings"/>
      <charset val="2"/>
    </font>
  </fonts>
  <fills count="9">
    <fill>
      <patternFill patternType="none"/>
    </fill>
    <fill>
      <patternFill patternType="gray125"/>
    </fill>
    <fill>
      <patternFill patternType="solid">
        <fgColor indexed="13"/>
        <bgColor indexed="64"/>
      </patternFill>
    </fill>
    <fill>
      <patternFill patternType="solid">
        <fgColor indexed="57"/>
        <bgColor indexed="64"/>
      </patternFill>
    </fill>
    <fill>
      <patternFill patternType="solid">
        <fgColor indexed="36"/>
        <bgColor indexed="64"/>
      </patternFill>
    </fill>
    <fill>
      <patternFill patternType="solid">
        <fgColor indexed="63"/>
        <bgColor indexed="64"/>
      </patternFill>
    </fill>
    <fill>
      <patternFill patternType="gray0625">
        <bgColor indexed="47"/>
      </patternFill>
    </fill>
    <fill>
      <patternFill patternType="solid">
        <fgColor indexed="50"/>
        <bgColor indexed="64"/>
      </patternFill>
    </fill>
    <fill>
      <patternFill patternType="solid">
        <fgColor indexed="10"/>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s>
  <cellStyleXfs count="1">
    <xf numFmtId="0" fontId="0" fillId="0" borderId="0"/>
  </cellStyleXfs>
  <cellXfs count="84">
    <xf numFmtId="0" fontId="0" fillId="0" borderId="0" xfId="0"/>
    <xf numFmtId="0" fontId="0" fillId="0" borderId="0" xfId="0" applyAlignment="1">
      <alignment wrapText="1"/>
    </xf>
    <xf numFmtId="0" fontId="2" fillId="0" borderId="0" xfId="0" applyFont="1"/>
    <xf numFmtId="1" fontId="0" fillId="0" borderId="0" xfId="0" applyNumberFormat="1"/>
    <xf numFmtId="0" fontId="0" fillId="0" borderId="0" xfId="0" applyAlignment="1">
      <alignment vertical="center" wrapText="1"/>
    </xf>
    <xf numFmtId="0" fontId="0" fillId="0" borderId="0" xfId="0" applyAlignment="1">
      <alignment vertical="center"/>
    </xf>
    <xf numFmtId="9" fontId="0" fillId="0" borderId="0" xfId="0" applyNumberFormat="1" applyAlignment="1">
      <alignment vertical="center"/>
    </xf>
    <xf numFmtId="164" fontId="6" fillId="0" borderId="1" xfId="0" applyNumberFormat="1" applyFont="1" applyBorder="1" applyAlignment="1">
      <alignment horizontal="right"/>
    </xf>
    <xf numFmtId="1" fontId="3" fillId="2" borderId="1" xfId="0" applyNumberFormat="1" applyFont="1" applyFill="1" applyBorder="1" applyAlignment="1" applyProtection="1">
      <alignment horizontal="right"/>
      <protection locked="0"/>
    </xf>
    <xf numFmtId="1" fontId="3" fillId="2" borderId="2" xfId="0" applyNumberFormat="1" applyFont="1" applyFill="1" applyBorder="1" applyAlignment="1" applyProtection="1">
      <alignment horizontal="right"/>
      <protection locked="0"/>
    </xf>
    <xf numFmtId="1" fontId="3" fillId="2" borderId="3" xfId="0" applyNumberFormat="1" applyFont="1" applyFill="1" applyBorder="1" applyAlignment="1" applyProtection="1">
      <alignment horizontal="right"/>
      <protection locked="0"/>
    </xf>
    <xf numFmtId="2" fontId="0" fillId="0" borderId="0" xfId="0" applyNumberFormat="1"/>
    <xf numFmtId="0" fontId="11" fillId="2" borderId="4" xfId="0" applyFont="1" applyFill="1" applyBorder="1" applyAlignment="1" applyProtection="1">
      <alignment horizontal="center" vertical="center" wrapText="1"/>
      <protection locked="0"/>
    </xf>
    <xf numFmtId="0" fontId="0" fillId="0" borderId="0" xfId="0" applyBorder="1" applyAlignment="1">
      <alignment horizontal="center" vertical="center" wrapText="1"/>
    </xf>
    <xf numFmtId="2" fontId="3" fillId="2" borderId="0" xfId="0" applyNumberFormat="1" applyFont="1" applyFill="1" applyBorder="1" applyAlignment="1" applyProtection="1">
      <alignment horizontal="right"/>
      <protection locked="0"/>
    </xf>
    <xf numFmtId="0" fontId="7" fillId="3" borderId="5" xfId="0" applyFont="1" applyFill="1" applyBorder="1"/>
    <xf numFmtId="0" fontId="7" fillId="3" borderId="6" xfId="0" applyFont="1" applyFill="1" applyBorder="1"/>
    <xf numFmtId="165" fontId="0" fillId="0" borderId="0" xfId="0" applyNumberFormat="1"/>
    <xf numFmtId="164" fontId="0" fillId="0" borderId="2" xfId="0" applyNumberFormat="1" applyBorder="1" applyProtection="1"/>
    <xf numFmtId="164" fontId="0" fillId="0" borderId="3" xfId="0" applyNumberFormat="1" applyBorder="1" applyProtection="1"/>
    <xf numFmtId="2" fontId="3" fillId="2" borderId="7" xfId="0" applyNumberFormat="1" applyFont="1" applyFill="1" applyBorder="1" applyAlignment="1" applyProtection="1">
      <alignment horizontal="right"/>
      <protection locked="0"/>
    </xf>
    <xf numFmtId="2" fontId="3" fillId="2" borderId="8" xfId="0" applyNumberFormat="1" applyFont="1" applyFill="1" applyBorder="1" applyAlignment="1" applyProtection="1">
      <alignment horizontal="right"/>
      <protection locked="0"/>
    </xf>
    <xf numFmtId="2" fontId="0" fillId="0" borderId="2" xfId="0" applyNumberFormat="1" applyBorder="1" applyAlignment="1" applyProtection="1">
      <alignment horizontal="right"/>
    </xf>
    <xf numFmtId="2" fontId="0" fillId="0" borderId="3" xfId="0" applyNumberFormat="1" applyBorder="1" applyAlignment="1" applyProtection="1">
      <alignment horizontal="right"/>
    </xf>
    <xf numFmtId="1" fontId="3" fillId="0" borderId="2" xfId="0" applyNumberFormat="1" applyFont="1" applyFill="1" applyBorder="1" applyAlignment="1" applyProtection="1">
      <alignment horizontal="right"/>
    </xf>
    <xf numFmtId="1" fontId="3" fillId="0" borderId="3" xfId="0" applyNumberFormat="1" applyFont="1" applyFill="1" applyBorder="1" applyAlignment="1" applyProtection="1">
      <alignment horizontal="right"/>
    </xf>
    <xf numFmtId="164" fontId="1" fillId="0" borderId="2" xfId="0" applyNumberFormat="1" applyFont="1" applyBorder="1" applyAlignment="1">
      <alignment horizontal="right"/>
    </xf>
    <xf numFmtId="164" fontId="1" fillId="0" borderId="3" xfId="0" applyNumberFormat="1" applyFont="1" applyBorder="1" applyAlignment="1">
      <alignment horizontal="right"/>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2" fillId="0" borderId="1" xfId="0" applyFont="1" applyBorder="1" applyAlignment="1">
      <alignment horizontal="center" vertical="center" wrapText="1"/>
    </xf>
    <xf numFmtId="0" fontId="10" fillId="4" borderId="9" xfId="0" applyFont="1" applyFill="1" applyBorder="1" applyAlignment="1" applyProtection="1">
      <alignment horizontal="right" vertical="center" wrapText="1"/>
    </xf>
    <xf numFmtId="0" fontId="15" fillId="4" borderId="10" xfId="0" applyFont="1" applyFill="1" applyBorder="1" applyAlignment="1">
      <alignment horizontal="left" vertical="center" wrapText="1"/>
    </xf>
    <xf numFmtId="0" fontId="16" fillId="2" borderId="11" xfId="0" applyFont="1" applyFill="1" applyBorder="1" applyProtection="1">
      <protection locked="0"/>
    </xf>
    <xf numFmtId="165" fontId="16" fillId="2" borderId="12" xfId="0" applyNumberFormat="1" applyFont="1" applyFill="1" applyBorder="1" applyAlignment="1" applyProtection="1">
      <alignment horizontal="left"/>
      <protection locked="0"/>
    </xf>
    <xf numFmtId="0" fontId="0" fillId="5" borderId="0" xfId="0" applyFill="1"/>
    <xf numFmtId="0" fontId="2" fillId="5" borderId="0" xfId="0" applyFont="1" applyFill="1"/>
    <xf numFmtId="0" fontId="0" fillId="5" borderId="5" xfId="0" applyFill="1" applyBorder="1"/>
    <xf numFmtId="0" fontId="0" fillId="5" borderId="7" xfId="0" applyFill="1" applyBorder="1"/>
    <xf numFmtId="0" fontId="2" fillId="5" borderId="7" xfId="0" applyFont="1" applyFill="1" applyBorder="1"/>
    <xf numFmtId="0" fontId="0" fillId="5" borderId="6" xfId="0" applyFill="1" applyBorder="1"/>
    <xf numFmtId="0" fontId="0" fillId="5" borderId="0" xfId="0" applyFill="1" applyBorder="1"/>
    <xf numFmtId="0" fontId="0" fillId="3" borderId="0" xfId="0" applyFill="1" applyBorder="1"/>
    <xf numFmtId="0" fontId="0" fillId="5" borderId="13" xfId="0" applyFill="1" applyBorder="1"/>
    <xf numFmtId="0" fontId="2" fillId="5" borderId="8" xfId="0" applyFont="1" applyFill="1" applyBorder="1"/>
    <xf numFmtId="0" fontId="0" fillId="5" borderId="8" xfId="0" applyFill="1" applyBorder="1"/>
    <xf numFmtId="0" fontId="0" fillId="5" borderId="12" xfId="0" applyFill="1" applyBorder="1"/>
    <xf numFmtId="0" fontId="0" fillId="3" borderId="7" xfId="0" applyFill="1" applyBorder="1"/>
    <xf numFmtId="0" fontId="0" fillId="3" borderId="6" xfId="0" applyFill="1" applyBorder="1"/>
    <xf numFmtId="0" fontId="0" fillId="5" borderId="14" xfId="0" applyFill="1" applyBorder="1" applyProtection="1">
      <protection locked="0"/>
    </xf>
    <xf numFmtId="0" fontId="0" fillId="5" borderId="0" xfId="0" applyFill="1" applyBorder="1" applyProtection="1">
      <protection locked="0"/>
    </xf>
    <xf numFmtId="0" fontId="2" fillId="5" borderId="0" xfId="0" applyFont="1" applyFill="1" applyBorder="1" applyProtection="1">
      <protection locked="0"/>
    </xf>
    <xf numFmtId="4" fontId="1" fillId="5" borderId="13" xfId="0" applyNumberFormat="1" applyFont="1" applyFill="1" applyBorder="1" applyProtection="1">
      <protection locked="0"/>
    </xf>
    <xf numFmtId="0" fontId="0" fillId="5" borderId="13" xfId="0" applyFill="1" applyBorder="1" applyProtection="1">
      <protection locked="0"/>
    </xf>
    <xf numFmtId="0" fontId="0" fillId="0" borderId="6" xfId="0" applyBorder="1" applyAlignment="1">
      <alignment horizontal="center" vertical="center" wrapText="1"/>
    </xf>
    <xf numFmtId="164" fontId="3" fillId="2" borderId="13" xfId="0" applyNumberFormat="1" applyFont="1" applyFill="1" applyBorder="1" applyAlignment="1" applyProtection="1">
      <alignment horizontal="right"/>
      <protection locked="0"/>
    </xf>
    <xf numFmtId="164" fontId="3" fillId="2" borderId="12" xfId="0" applyNumberFormat="1" applyFont="1" applyFill="1" applyBorder="1" applyAlignment="1" applyProtection="1">
      <alignment horizontal="right"/>
      <protection locked="0"/>
    </xf>
    <xf numFmtId="0" fontId="4" fillId="6" borderId="14" xfId="0" applyFont="1" applyFill="1" applyBorder="1" applyAlignment="1">
      <alignment horizontal="center" vertical="center" wrapText="1"/>
    </xf>
    <xf numFmtId="0" fontId="0" fillId="6" borderId="0" xfId="0" applyFill="1" applyBorder="1" applyAlignment="1"/>
    <xf numFmtId="0" fontId="0" fillId="0" borderId="13" xfId="0" applyBorder="1" applyAlignment="1"/>
    <xf numFmtId="0" fontId="5" fillId="2" borderId="9" xfId="0" applyFont="1" applyFill="1" applyBorder="1" applyAlignment="1" applyProtection="1">
      <alignment horizontal="center" vertical="center" wrapText="1"/>
      <protection locked="0"/>
    </xf>
    <xf numFmtId="0" fontId="0" fillId="0" borderId="10" xfId="0" applyBorder="1" applyAlignment="1">
      <alignment horizontal="center" vertical="center" wrapText="1"/>
    </xf>
    <xf numFmtId="0" fontId="12" fillId="3" borderId="14" xfId="0" applyFont="1" applyFill="1" applyBorder="1" applyAlignment="1">
      <alignment horizontal="center" vertical="center" wrapText="1"/>
    </xf>
    <xf numFmtId="0" fontId="0" fillId="3" borderId="0" xfId="0" applyFill="1" applyBorder="1"/>
    <xf numFmtId="0" fontId="0" fillId="3" borderId="14" xfId="0" applyFill="1" applyBorder="1"/>
    <xf numFmtId="0" fontId="14" fillId="3" borderId="14" xfId="0" applyFont="1" applyFill="1" applyBorder="1" applyAlignment="1">
      <alignment horizontal="left" vertical="center" wrapText="1"/>
    </xf>
    <xf numFmtId="0" fontId="14" fillId="3" borderId="0" xfId="0" applyFont="1" applyFill="1" applyBorder="1" applyAlignment="1">
      <alignment horizontal="left" vertical="center" wrapText="1"/>
    </xf>
    <xf numFmtId="0" fontId="15" fillId="7" borderId="0" xfId="0" applyFont="1" applyFill="1" applyBorder="1" applyAlignment="1">
      <alignment horizontal="left" vertical="center" wrapText="1"/>
    </xf>
    <xf numFmtId="0" fontId="0" fillId="0" borderId="0" xfId="0" applyBorder="1" applyAlignment="1"/>
    <xf numFmtId="0" fontId="8" fillId="8" borderId="14" xfId="0" applyFont="1" applyFill="1" applyBorder="1" applyAlignment="1">
      <alignment horizontal="center" vertical="center" wrapText="1"/>
    </xf>
    <xf numFmtId="0" fontId="0" fillId="0" borderId="0" xfId="0" applyBorder="1" applyAlignment="1">
      <alignment horizontal="center" vertical="center" wrapText="1"/>
    </xf>
    <xf numFmtId="0" fontId="0" fillId="0" borderId="14" xfId="0" applyBorder="1" applyAlignment="1">
      <alignment horizontal="center" vertical="center" wrapText="1"/>
    </xf>
    <xf numFmtId="0" fontId="0" fillId="0" borderId="11" xfId="0" applyBorder="1" applyAlignment="1">
      <alignment horizontal="center" vertical="center" wrapText="1"/>
    </xf>
    <xf numFmtId="0" fontId="0" fillId="0" borderId="8" xfId="0" applyBorder="1" applyAlignment="1">
      <alignment horizontal="center" vertical="center" wrapText="1"/>
    </xf>
    <xf numFmtId="0" fontId="13" fillId="0" borderId="9" xfId="0" applyFont="1" applyBorder="1" applyAlignment="1">
      <alignment horizontal="center" vertical="center" wrapText="1"/>
    </xf>
    <xf numFmtId="0" fontId="9" fillId="0" borderId="9" xfId="0" applyFont="1" applyBorder="1" applyAlignment="1">
      <alignment wrapText="1"/>
    </xf>
    <xf numFmtId="0" fontId="0" fillId="0" borderId="15" xfId="0" applyBorder="1" applyAlignment="1">
      <alignment wrapText="1"/>
    </xf>
    <xf numFmtId="0" fontId="5" fillId="0" borderId="15" xfId="0" applyFont="1" applyBorder="1" applyAlignment="1">
      <alignment horizontal="center" vertical="center" wrapText="1"/>
    </xf>
    <xf numFmtId="0" fontId="8" fillId="5" borderId="14" xfId="0" applyFont="1" applyFill="1" applyBorder="1" applyAlignment="1">
      <alignment wrapText="1"/>
    </xf>
    <xf numFmtId="0" fontId="8" fillId="0" borderId="0" xfId="0" applyFont="1" applyBorder="1" applyAlignment="1">
      <alignment wrapText="1"/>
    </xf>
    <xf numFmtId="0" fontId="8" fillId="0" borderId="13" xfId="0" applyFont="1" applyBorder="1" applyAlignment="1">
      <alignment wrapText="1"/>
    </xf>
    <xf numFmtId="0" fontId="8" fillId="0" borderId="11" xfId="0" applyFont="1" applyBorder="1" applyAlignment="1">
      <alignment wrapText="1"/>
    </xf>
    <xf numFmtId="0" fontId="8" fillId="0" borderId="8" xfId="0" applyFont="1" applyBorder="1" applyAlignment="1">
      <alignment wrapText="1"/>
    </xf>
    <xf numFmtId="0" fontId="8" fillId="0" borderId="12" xfId="0" applyFont="1" applyBorder="1" applyAlignment="1">
      <alignment wrapText="1"/>
    </xf>
  </cellXfs>
  <cellStyles count="1">
    <cellStyle name="Normal" xfId="0" builtinId="0"/>
  </cellStyles>
  <dxfs count="14">
    <dxf>
      <alignment horizontal="center" vertical="center" textRotation="0" wrapText="1" indent="0" relativeIndent="0" justifyLastLine="0" shrinkToFit="0" mergeCell="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indexed="63"/>
        <name val="Calibri"/>
        <scheme val="none"/>
      </font>
      <alignment horizontal="right" vertical="bottom" textRotation="0" wrapText="0" indent="0" relativeIndent="0" justifyLastLine="0" shrinkToFit="0" mergeCell="0" readingOrder="0"/>
    </dxf>
    <dxf>
      <font>
        <b/>
        <i/>
        <strike val="0"/>
        <condense val="0"/>
        <extend val="0"/>
        <outline val="0"/>
        <shadow val="0"/>
        <u val="none"/>
        <vertAlign val="baseline"/>
        <sz val="11"/>
        <color indexed="10"/>
        <name val="Calibri"/>
        <scheme val="none"/>
      </font>
      <numFmt numFmtId="164" formatCode="&quot;$&quot;#,##0.00"/>
      <alignment horizontal="right" vertical="bottom" textRotation="0" wrapText="0" indent="0" relativeIndent="0" justifyLastLine="0" shrinkToFit="0" mergeCell="0" readingOrder="0"/>
      <border diagonalUp="0" diagonalDown="0">
        <left style="thin">
          <color indexed="64"/>
        </left>
        <right style="thin">
          <color indexed="64"/>
        </right>
        <top style="thin">
          <color indexed="64"/>
        </top>
        <bottom/>
      </border>
    </dxf>
    <dxf>
      <font>
        <b val="0"/>
        <i val="0"/>
        <strike val="0"/>
        <condense val="0"/>
        <extend val="0"/>
        <outline val="0"/>
        <shadow val="0"/>
        <u val="none"/>
        <vertAlign val="baseline"/>
        <sz val="11"/>
        <color indexed="63"/>
        <name val="Calibri"/>
        <scheme val="none"/>
      </font>
      <numFmt numFmtId="164" formatCode="&quot;$&quot;#,##0.00"/>
      <alignment horizontal="right" vertical="bottom" textRotation="0" wrapText="0" indent="0" relativeIndent="0" justifyLastLine="0" shrinkToFit="0" mergeCell="0" readingOrder="0"/>
      <border diagonalUp="0" diagonalDown="0">
        <left style="thin">
          <color indexed="64"/>
        </left>
        <right style="thin">
          <color indexed="64"/>
        </right>
        <top/>
        <bottom/>
      </border>
    </dxf>
    <dxf>
      <font>
        <b val="0"/>
        <i val="0"/>
        <strike val="0"/>
        <condense val="0"/>
        <extend val="0"/>
        <outline val="0"/>
        <shadow val="0"/>
        <u val="none"/>
        <vertAlign val="baseline"/>
        <sz val="11"/>
        <color indexed="63"/>
        <name val="Calibri"/>
        <scheme val="none"/>
      </font>
      <numFmt numFmtId="164" formatCode="&quot;$&quot;#,##0.00"/>
      <alignment horizontal="right" vertical="bottom" textRotation="0" wrapText="0" indent="0" relativeIndent="0" justifyLastLine="0" shrinkToFit="0" mergeCell="0" readingOrder="0"/>
      <border diagonalUp="0" diagonalDown="0">
        <left style="thin">
          <color indexed="64"/>
        </left>
        <right style="thin">
          <color indexed="64"/>
        </right>
        <top/>
        <bottom/>
      </border>
    </dxf>
    <dxf>
      <font>
        <b val="0"/>
        <i val="0"/>
        <strike val="0"/>
        <condense val="0"/>
        <extend val="0"/>
        <outline val="0"/>
        <shadow val="0"/>
        <u val="none"/>
        <vertAlign val="baseline"/>
        <sz val="11"/>
        <color indexed="63"/>
        <name val="Calibri"/>
        <scheme val="none"/>
      </font>
      <numFmt numFmtId="164" formatCode="&quot;$&quot;#,##0.00"/>
      <alignment horizontal="right" vertical="bottom" textRotation="0" wrapText="0" indent="0" relativeIndent="0" justifyLastLine="0" shrinkToFit="0" mergeCell="0" readingOrder="0"/>
      <border diagonalUp="0" diagonalDown="0">
        <left style="thin">
          <color indexed="64"/>
        </left>
        <right style="thin">
          <color indexed="64"/>
        </right>
        <top/>
        <bottom/>
      </border>
    </dxf>
    <dxf>
      <font>
        <b val="0"/>
        <i val="0"/>
        <strike val="0"/>
        <condense val="0"/>
        <extend val="0"/>
        <outline val="0"/>
        <shadow val="0"/>
        <u val="none"/>
        <vertAlign val="baseline"/>
        <sz val="11"/>
        <color indexed="63"/>
        <name val="Calibri"/>
        <scheme val="none"/>
      </font>
      <numFmt numFmtId="164" formatCode="&quot;$&quot;#,##0.00"/>
      <alignment horizontal="right" vertical="bottom" textRotation="0" wrapText="0" indent="0" relativeIndent="0" justifyLastLine="0" shrinkToFit="0" mergeCell="0" readingOrder="0"/>
      <border diagonalUp="0" diagonalDown="0">
        <left style="thin">
          <color indexed="64"/>
        </left>
        <right style="thin">
          <color indexed="64"/>
        </right>
        <top/>
        <bottom/>
      </border>
    </dxf>
    <dxf>
      <font>
        <b val="0"/>
        <i val="0"/>
        <strike val="0"/>
        <condense val="0"/>
        <extend val="0"/>
        <outline val="0"/>
        <shadow val="0"/>
        <u val="none"/>
        <vertAlign val="baseline"/>
        <sz val="11"/>
        <color indexed="10"/>
        <name val="Calibri"/>
        <scheme val="none"/>
      </font>
      <numFmt numFmtId="1" formatCode="0"/>
      <fill>
        <patternFill patternType="none">
          <fgColor indexed="64"/>
          <bgColor indexed="65"/>
        </patternFill>
      </fill>
      <alignment horizontal="right" vertical="bottom" textRotation="0" wrapText="0" indent="0" relativeIndent="0" justifyLastLine="0" shrinkToFit="0" mergeCell="0" readingOrder="0"/>
      <border diagonalUp="0" diagonalDown="0">
        <left style="thin">
          <color indexed="64"/>
        </left>
        <right style="thin">
          <color indexed="64"/>
        </right>
        <top/>
        <bottom/>
      </border>
      <protection locked="1" hidden="0"/>
    </dxf>
    <dxf>
      <font>
        <b val="0"/>
        <i val="0"/>
        <strike val="0"/>
        <condense val="0"/>
        <extend val="0"/>
        <outline val="0"/>
        <shadow val="0"/>
        <u val="none"/>
        <vertAlign val="baseline"/>
        <sz val="11"/>
        <color indexed="10"/>
        <name val="Calibri"/>
        <scheme val="none"/>
      </font>
      <numFmt numFmtId="1" formatCode="0"/>
      <fill>
        <patternFill patternType="solid">
          <fgColor indexed="64"/>
          <bgColor indexed="13"/>
        </patternFill>
      </fill>
      <alignment horizontal="right" vertical="bottom" textRotation="0" wrapText="0" indent="0" relativeIndent="0" justifyLastLine="0" shrinkToFit="0" mergeCell="0" readingOrder="0"/>
      <border diagonalUp="0" diagonalDown="0">
        <left style="thin">
          <color indexed="64"/>
        </left>
        <right style="thin">
          <color indexed="64"/>
        </right>
        <top/>
        <bottom/>
      </border>
      <protection locked="0" hidden="0"/>
    </dxf>
    <dxf>
      <numFmt numFmtId="2" formatCode="0.00"/>
      <alignment horizontal="right" vertical="bottom" textRotation="0" wrapText="0" indent="0" relativeIndent="0" justifyLastLine="0" shrinkToFit="0" mergeCell="0" readingOrder="0"/>
      <border diagonalUp="0" diagonalDown="0">
        <left style="thin">
          <color indexed="64"/>
        </left>
        <right style="thin">
          <color indexed="64"/>
        </right>
        <top/>
        <bottom/>
      </border>
      <protection locked="1" hidden="0"/>
    </dxf>
    <dxf>
      <font>
        <b val="0"/>
        <i val="0"/>
        <strike val="0"/>
        <condense val="0"/>
        <extend val="0"/>
        <outline val="0"/>
        <shadow val="0"/>
        <u val="none"/>
        <vertAlign val="baseline"/>
        <sz val="11"/>
        <color indexed="10"/>
        <name val="Calibri"/>
        <scheme val="none"/>
      </font>
      <numFmt numFmtId="2" formatCode="0.00"/>
      <fill>
        <patternFill patternType="solid">
          <fgColor indexed="64"/>
          <bgColor indexed="13"/>
        </patternFill>
      </fill>
      <alignment horizontal="right" vertical="bottom" textRotation="0" wrapText="0" indent="0" relativeIndent="0" justifyLastLine="0" shrinkToFit="0" mergeCell="0" readingOrder="0"/>
      <protection locked="0" hidden="0"/>
    </dxf>
    <dxf>
      <numFmt numFmtId="164" formatCode="&quot;$&quot;#,##0.00"/>
      <border diagonalUp="0" diagonalDown="0">
        <left style="thin">
          <color indexed="64"/>
        </left>
        <right style="thin">
          <color indexed="64"/>
        </right>
        <top/>
        <bottom/>
      </border>
      <protection locked="1" hidden="0"/>
    </dxf>
    <dxf>
      <font>
        <b val="0"/>
        <i val="0"/>
        <strike val="0"/>
        <condense val="0"/>
        <extend val="0"/>
        <outline val="0"/>
        <shadow val="0"/>
        <u val="none"/>
        <vertAlign val="baseline"/>
        <sz val="11"/>
        <color indexed="10"/>
        <name val="Calibri"/>
        <scheme val="none"/>
      </font>
      <numFmt numFmtId="164" formatCode="&quot;$&quot;#,##0.00"/>
      <fill>
        <patternFill patternType="solid">
          <fgColor indexed="64"/>
          <bgColor indexed="13"/>
        </patternFill>
      </fill>
      <alignment horizontal="right" vertical="bottom" textRotation="0" wrapText="0" indent="0" relativeIndent="0" justifyLastLine="0" shrinkToFit="0" mergeCell="0" readingOrder="0"/>
      <border diagonalUp="0" diagonalDown="0">
        <left/>
        <right style="thin">
          <color indexed="64"/>
        </right>
        <top/>
        <bottom/>
      </border>
      <protection locked="0" hidden="0"/>
    </dxf>
    <dxf>
      <font>
        <b val="0"/>
        <i val="0"/>
        <strike val="0"/>
        <condense val="0"/>
        <extend val="0"/>
        <outline val="0"/>
        <shadow val="0"/>
        <u val="none"/>
        <vertAlign val="baseline"/>
        <sz val="11"/>
        <color indexed="63"/>
        <name val="Calibri"/>
        <scheme val="none"/>
      </font>
      <numFmt numFmtId="4" formatCode="#,##0.00"/>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Table1" displayName="Table1" ref="A4:L7" totalsRowShown="0" headerRowDxfId="0" dataDxfId="1">
  <autoFilter ref="A4:L7"/>
  <tableColumns count="12">
    <tableColumn id="1" name="Final Average Earnings If Retiring End of Current Yearê" dataDxfId="12"/>
    <tableColumn id="2" name="Estimated Final Average Earnings -- Assum. Above Increases" dataDxfId="11">
      <calculatedColumnFormula>IF(E5=J1,A5,(A5*POWER((100+F1)/100,(E5-J1))))</calculatedColumnFormula>
    </tableColumn>
    <tableColumn id="3" name="Years Service Current Year Endê" dataDxfId="10"/>
    <tableColumn id="10" name="Years at Retire-ment" dataDxfId="9">
      <calculatedColumnFormula>IF(E5&lt;1,"N/A",C5+E5-J1)</calculatedColumnFormula>
    </tableColumn>
    <tableColumn id="4" name="Expected Retire-ment Year_x000a_ ê" dataDxfId="8"/>
    <tableColumn id="12" name="Test for Full Retirement Eligibility" dataDxfId="7">
      <calculatedColumnFormula>'Full Ret. Elib. Tester'!K15</calculatedColumnFormula>
    </tableColumn>
    <tableColumn id="5" name="Tier II/IIA Break Point* " dataDxfId="6">
      <calculatedColumnFormula>IF(E5&lt;1,"N/A",INDEX((P3:Q60),(E5-2009),2))</calculatedColumnFormula>
    </tableColumn>
    <tableColumn id="6" name="Pension from_x000a_ 1 1/3%  _x000a_Multiplier" dataDxfId="5">
      <calculatedColumnFormula>AE5*B5*0.01333333333</calculatedColumnFormula>
    </tableColumn>
    <tableColumn id="7" name="Additional  Pension Over Breakpoint" dataDxfId="4">
      <calculatedColumnFormula>IF(F5="Not Eligible","N/A",IF(B5&lt;=G5,0,(B5-G5)*AE5*0.005))</calculatedColumnFormula>
    </tableColumn>
    <tableColumn id="13" name="Pension From Years Over 35" dataDxfId="3">
      <calculatedColumnFormula>IF(F5="Not Eligible","N/A",AF5*B5*0.01625)</calculatedColumnFormula>
    </tableColumn>
    <tableColumn id="8" name="Total Yearly Pension" dataDxfId="2">
      <calculatedColumnFormula>IF(F5="Not Eligible","N/A",H5+I5+J5)</calculatedColumnFormula>
    </tableColumn>
    <tableColumn id="9" name="Breakpoint Increases" dataDxfId="13"/>
  </tableColumns>
  <tableStyleInfo name="TableStyleMedium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F62"/>
  <sheetViews>
    <sheetView tabSelected="1" zoomScale="75" zoomScaleNormal="75" zoomScalePageLayoutView="75" workbookViewId="0">
      <selection activeCell="AJ6" sqref="AJ6"/>
    </sheetView>
  </sheetViews>
  <sheetFormatPr defaultRowHeight="15"/>
  <cols>
    <col min="1" max="1" width="15.42578125" customWidth="1"/>
    <col min="2" max="2" width="13.42578125" customWidth="1"/>
    <col min="3" max="4" width="10.140625" customWidth="1"/>
    <col min="5" max="5" width="10.42578125" style="2" customWidth="1"/>
    <col min="6" max="6" width="12.28515625" customWidth="1"/>
    <col min="7" max="7" width="14" customWidth="1"/>
    <col min="8" max="8" width="14.140625" customWidth="1"/>
    <col min="9" max="9" width="14.5703125" customWidth="1"/>
    <col min="10" max="10" width="14.85546875" customWidth="1"/>
    <col min="11" max="11" width="15.42578125" customWidth="1"/>
    <col min="12" max="32" width="12.140625" hidden="1" customWidth="1"/>
  </cols>
  <sheetData>
    <row r="1" spans="1:32">
      <c r="A1" s="37"/>
      <c r="B1" s="38"/>
      <c r="C1" s="38"/>
      <c r="D1" s="38"/>
      <c r="E1" s="39"/>
      <c r="F1" s="38"/>
      <c r="G1" s="38"/>
      <c r="H1" s="38"/>
      <c r="I1" s="38"/>
      <c r="J1" s="40"/>
      <c r="K1" s="40"/>
    </row>
    <row r="2" spans="1:32" s="1" customFormat="1" ht="48" customHeight="1">
      <c r="A2" s="57" t="s">
        <v>25</v>
      </c>
      <c r="B2" s="58"/>
      <c r="C2" s="58"/>
      <c r="D2" s="58"/>
      <c r="E2" s="58"/>
      <c r="F2" s="58"/>
      <c r="G2" s="58"/>
      <c r="H2" s="58"/>
      <c r="I2" s="58"/>
      <c r="J2" s="58"/>
      <c r="K2" s="59"/>
    </row>
    <row r="3" spans="1:32" s="1" customFormat="1" ht="50.1" customHeight="1">
      <c r="A3" s="75" t="s">
        <v>26</v>
      </c>
      <c r="B3" s="76"/>
      <c r="C3" s="12"/>
      <c r="D3" s="74" t="s">
        <v>27</v>
      </c>
      <c r="E3" s="61"/>
      <c r="F3" s="31">
        <f>A16+B16</f>
        <v>3</v>
      </c>
      <c r="G3" s="32" t="s">
        <v>3</v>
      </c>
      <c r="H3" s="77" t="s">
        <v>28</v>
      </c>
      <c r="I3" s="77"/>
      <c r="J3" s="60">
        <v>2010</v>
      </c>
      <c r="K3" s="61"/>
      <c r="X3" s="5" t="s">
        <v>17</v>
      </c>
    </row>
    <row r="4" spans="1:32" s="5" customFormat="1" ht="80.099999999999994" customHeight="1">
      <c r="A4" s="54" t="s">
        <v>33</v>
      </c>
      <c r="B4" s="28" t="s">
        <v>2</v>
      </c>
      <c r="C4" s="13" t="s">
        <v>31</v>
      </c>
      <c r="D4" s="28" t="s">
        <v>23</v>
      </c>
      <c r="E4" s="28" t="s">
        <v>32</v>
      </c>
      <c r="F4" s="28" t="s">
        <v>13</v>
      </c>
      <c r="G4" s="29" t="s">
        <v>34</v>
      </c>
      <c r="H4" s="28" t="s">
        <v>19</v>
      </c>
      <c r="I4" s="28" t="s">
        <v>18</v>
      </c>
      <c r="J4" s="28" t="s">
        <v>20</v>
      </c>
      <c r="K4" s="30" t="s">
        <v>1</v>
      </c>
      <c r="L4" s="4" t="s">
        <v>37</v>
      </c>
      <c r="M4" s="5" t="s">
        <v>0</v>
      </c>
      <c r="W4" s="6" t="s">
        <v>16</v>
      </c>
      <c r="AE4" s="4" t="s">
        <v>21</v>
      </c>
      <c r="AF4" s="4" t="s">
        <v>22</v>
      </c>
    </row>
    <row r="5" spans="1:32">
      <c r="A5" s="55"/>
      <c r="B5" s="18">
        <f>IF(E5=J3,A5,(A5*POWER((100+F3)/100,(E5-J3))))</f>
        <v>0</v>
      </c>
      <c r="C5" s="20"/>
      <c r="D5" s="22" t="str">
        <f>IF(E5&lt;1,"N/A",C5+E5-J3)</f>
        <v>N/A</v>
      </c>
      <c r="E5" s="8"/>
      <c r="F5" s="24" t="str">
        <f ca="1">'Full Ret. Elib. Tester'!K15</f>
        <v>Not Eligible</v>
      </c>
      <c r="G5" s="26" t="str">
        <f>IF(E5&lt;1,"N/A",INDEX((P5:Q62),(E5-2009),2))</f>
        <v>N/A</v>
      </c>
      <c r="H5" s="26">
        <f>AE5*B5*0.01333333333</f>
        <v>0</v>
      </c>
      <c r="I5" s="26" t="str">
        <f>IF(F5="Not Eligible","N/A",IF(B5&lt;=G5,0,(B5-G5)*AE5*0.005))</f>
        <v>N/A</v>
      </c>
      <c r="J5" s="26" t="str">
        <f>IF(F5="Not Eligible","N/A",AF5*B5*0.01625)</f>
        <v>N/A</v>
      </c>
      <c r="K5" s="7" t="str">
        <f>IF(F5="Not Eligible","N/A",H5+I5+J5)</f>
        <v>N/A</v>
      </c>
      <c r="M5">
        <v>0</v>
      </c>
      <c r="N5">
        <v>54800</v>
      </c>
      <c r="O5" s="3">
        <f>ROUND(N5/100,3)</f>
        <v>548</v>
      </c>
      <c r="P5" s="3">
        <f>2010+M5</f>
        <v>2010</v>
      </c>
      <c r="Q5">
        <f>O5*100</f>
        <v>54800</v>
      </c>
      <c r="S5">
        <f>F3</f>
        <v>3</v>
      </c>
      <c r="V5">
        <v>0</v>
      </c>
      <c r="W5" s="17">
        <v>0</v>
      </c>
      <c r="AE5">
        <f ca="1">IF('Tier II or IIA Calculator'!$D5&gt;35, 35, 'Tier II or IIA Calculator'!$D5)</f>
        <v>35</v>
      </c>
      <c r="AF5" t="e">
        <f ca="1">IF('Tier II or IIA Calculator'!$D5&lt;=35,0,'Tier II or IIA Calculator'!$D5-35)</f>
        <v>#VALUE!</v>
      </c>
    </row>
    <row r="6" spans="1:32">
      <c r="A6" s="55"/>
      <c r="B6" s="18">
        <f>IF(E6=J3,A6,(A6*POWER((100+F3)/100,(E6-J3))))</f>
        <v>0</v>
      </c>
      <c r="C6" s="14"/>
      <c r="D6" s="22" t="str">
        <f>IF(E6&lt;1,"N/A",C6+E6-J3)</f>
        <v>N/A</v>
      </c>
      <c r="E6" s="9"/>
      <c r="F6" s="24" t="str">
        <f ca="1">'Full Ret. Elib. Tester'!K16</f>
        <v>Not Eligible</v>
      </c>
      <c r="G6" s="26" t="str">
        <f>IF(E6&lt;1,"N/A",INDEX((P5:Q62),(E6-2009),2))</f>
        <v>N/A</v>
      </c>
      <c r="H6" s="26">
        <f>AE6*B6*0.01333333333</f>
        <v>0</v>
      </c>
      <c r="I6" s="26" t="str">
        <f>IF(F6="Not Eligible","N/A",IF(B6&lt;=G6,0,(B6-G6)*AE6*0.005))</f>
        <v>N/A</v>
      </c>
      <c r="J6" s="26" t="str">
        <f>IF(F6="Not Eligible","N/A",AF6*B6*0.01625)</f>
        <v>N/A</v>
      </c>
      <c r="K6" s="7" t="str">
        <f>IF(F6="Not Eligible","N/A",H6+I6+J6)</f>
        <v>N/A</v>
      </c>
      <c r="L6">
        <v>1.06</v>
      </c>
      <c r="M6">
        <v>1</v>
      </c>
      <c r="N6">
        <f>54800*POWER(L6,M6)</f>
        <v>58088</v>
      </c>
      <c r="O6" s="3">
        <f>ROUND(N6/100,3)</f>
        <v>581</v>
      </c>
      <c r="P6" s="3">
        <f>2010+M6</f>
        <v>2011</v>
      </c>
      <c r="Q6">
        <f>O6*100</f>
        <v>58100</v>
      </c>
      <c r="S6">
        <f>S5</f>
        <v>3</v>
      </c>
      <c r="V6">
        <v>1</v>
      </c>
      <c r="W6" s="17">
        <v>0.1</v>
      </c>
      <c r="AE6">
        <f ca="1">IF('Tier II or IIA Calculator'!$D6&gt;35, 35, 'Tier II or IIA Calculator'!$D6)</f>
        <v>35</v>
      </c>
      <c r="AF6" t="e">
        <f ca="1">IF('Tier II or IIA Calculator'!$D6&lt;=35,0,'Tier II or IIA Calculator'!$D6-35)</f>
        <v>#VALUE!</v>
      </c>
    </row>
    <row r="7" spans="1:32">
      <c r="A7" s="56"/>
      <c r="B7" s="19">
        <f>IF(E7=J3,A7,(A7*POWER((100+F3)/100,(E7-J3))))</f>
        <v>0</v>
      </c>
      <c r="C7" s="21"/>
      <c r="D7" s="23" t="str">
        <f>IF(E7&lt;1,"N/A",C7+E7-J3)</f>
        <v>N/A</v>
      </c>
      <c r="E7" s="10"/>
      <c r="F7" s="25" t="str">
        <f ca="1">'Full Ret. Elib. Tester'!K17</f>
        <v>Not Eligible</v>
      </c>
      <c r="G7" s="27" t="str">
        <f>IF(E7&lt;1,"N/A",INDEX((P5:Q62),(E7-2009),2))</f>
        <v>N/A</v>
      </c>
      <c r="H7" s="26">
        <f>AE7*B7*0.01333333333</f>
        <v>0</v>
      </c>
      <c r="I7" s="26" t="str">
        <f>IF(F7="Not Eligible","N/A",IF(B7&lt;=G7,0,(B7-G7)*AE7*0.005))</f>
        <v>N/A</v>
      </c>
      <c r="J7" s="26" t="str">
        <f>IF(F7="Not Eligible","N/A",AF7*B7*0.01625)</f>
        <v>N/A</v>
      </c>
      <c r="K7" s="7" t="str">
        <f>IF(F7="Not Eligible","N/A",H7+I7+J7)</f>
        <v>N/A</v>
      </c>
      <c r="L7">
        <v>1.06</v>
      </c>
      <c r="M7">
        <v>2</v>
      </c>
      <c r="N7">
        <f>54800*POWER(L7,M7)</f>
        <v>61573.279999999999</v>
      </c>
      <c r="O7" s="3">
        <f>ROUND(N7/100,3)</f>
        <v>616</v>
      </c>
      <c r="P7" s="3">
        <f>2010+M7</f>
        <v>2012</v>
      </c>
      <c r="Q7">
        <f>O7*100</f>
        <v>61600</v>
      </c>
      <c r="S7">
        <f>S5</f>
        <v>3</v>
      </c>
      <c r="V7">
        <v>2</v>
      </c>
      <c r="W7" s="17">
        <v>0.2</v>
      </c>
      <c r="AE7">
        <f ca="1">IF('Tier II or IIA Calculator'!$D7&gt;35, 35, 'Tier II or IIA Calculator'!$D7)</f>
        <v>35</v>
      </c>
      <c r="AF7" t="e">
        <f ca="1">IF('Tier II or IIA Calculator'!$D7&lt;=35,0,'Tier II or IIA Calculator'!$D7-35)</f>
        <v>#VALUE!</v>
      </c>
    </row>
    <row r="8" spans="1:32">
      <c r="A8" s="49"/>
      <c r="B8" s="50"/>
      <c r="C8" s="50"/>
      <c r="D8" s="50"/>
      <c r="E8" s="51"/>
      <c r="F8" s="50"/>
      <c r="G8" s="50"/>
      <c r="H8" s="50"/>
      <c r="I8" s="50"/>
      <c r="J8" s="50"/>
      <c r="K8" s="52"/>
      <c r="L8">
        <v>1.06</v>
      </c>
      <c r="M8">
        <v>3</v>
      </c>
      <c r="N8">
        <f t="shared" ref="N8:N14" si="0">54800*POWER(L8,M8)</f>
        <v>65267.676800000001</v>
      </c>
      <c r="O8" s="3">
        <f t="shared" ref="O8:O14" si="1">ROUND(N8/100,3)</f>
        <v>653</v>
      </c>
      <c r="P8" s="3">
        <f t="shared" ref="P8:P14" si="2">2010+M8</f>
        <v>2013</v>
      </c>
      <c r="Q8">
        <f t="shared" ref="Q8:Q14" si="3">O8*100</f>
        <v>65300</v>
      </c>
      <c r="S8">
        <f>S5</f>
        <v>3</v>
      </c>
      <c r="U8">
        <v>3</v>
      </c>
      <c r="V8" s="3">
        <v>3</v>
      </c>
      <c r="W8" s="17">
        <v>0.3</v>
      </c>
    </row>
    <row r="9" spans="1:32">
      <c r="A9" s="65" t="s">
        <v>29</v>
      </c>
      <c r="B9" s="66"/>
      <c r="C9" s="66"/>
      <c r="D9" s="42"/>
      <c r="E9" s="51"/>
      <c r="F9" s="67" t="s">
        <v>24</v>
      </c>
      <c r="G9" s="67"/>
      <c r="H9" s="67"/>
      <c r="I9" s="67"/>
      <c r="J9" s="67"/>
      <c r="K9" s="52"/>
      <c r="L9">
        <v>1.06</v>
      </c>
      <c r="M9">
        <v>4</v>
      </c>
      <c r="N9">
        <f t="shared" si="0"/>
        <v>69183.737408000001</v>
      </c>
      <c r="O9" s="3">
        <f t="shared" si="1"/>
        <v>692</v>
      </c>
      <c r="P9" s="3">
        <f t="shared" si="2"/>
        <v>2014</v>
      </c>
      <c r="Q9">
        <f t="shared" si="3"/>
        <v>69200</v>
      </c>
      <c r="S9">
        <f>S6</f>
        <v>3</v>
      </c>
      <c r="U9">
        <v>4</v>
      </c>
      <c r="V9" s="3">
        <v>4</v>
      </c>
      <c r="W9" s="17">
        <v>0.4</v>
      </c>
    </row>
    <row r="10" spans="1:32">
      <c r="A10" s="65"/>
      <c r="B10" s="66"/>
      <c r="C10" s="66"/>
      <c r="D10" s="42"/>
      <c r="E10" s="51"/>
      <c r="F10" s="67"/>
      <c r="G10" s="67"/>
      <c r="H10" s="67"/>
      <c r="I10" s="67"/>
      <c r="J10" s="67"/>
      <c r="K10" s="52"/>
      <c r="L10">
        <v>1.06</v>
      </c>
      <c r="M10">
        <v>5</v>
      </c>
      <c r="N10">
        <f t="shared" si="0"/>
        <v>73334.761652479996</v>
      </c>
      <c r="O10" s="3">
        <f t="shared" si="1"/>
        <v>733</v>
      </c>
      <c r="P10" s="3">
        <f t="shared" si="2"/>
        <v>2015</v>
      </c>
      <c r="Q10">
        <f t="shared" si="3"/>
        <v>73300</v>
      </c>
      <c r="S10">
        <f>S5</f>
        <v>3</v>
      </c>
      <c r="U10">
        <v>5</v>
      </c>
      <c r="V10" s="3">
        <v>5</v>
      </c>
      <c r="W10" s="17">
        <v>0.5</v>
      </c>
    </row>
    <row r="11" spans="1:32">
      <c r="A11" s="62" t="s">
        <v>30</v>
      </c>
      <c r="B11" s="63"/>
      <c r="C11" s="63"/>
      <c r="D11" s="63"/>
      <c r="E11" s="51"/>
      <c r="F11" s="67"/>
      <c r="G11" s="67"/>
      <c r="H11" s="67"/>
      <c r="I11" s="67"/>
      <c r="J11" s="67"/>
      <c r="K11" s="52"/>
      <c r="L11">
        <v>1.06</v>
      </c>
      <c r="M11">
        <v>6</v>
      </c>
      <c r="N11">
        <f t="shared" si="0"/>
        <v>77734.847351628807</v>
      </c>
      <c r="O11" s="3">
        <f t="shared" si="1"/>
        <v>777</v>
      </c>
      <c r="P11" s="3">
        <f t="shared" si="2"/>
        <v>2016</v>
      </c>
      <c r="Q11">
        <f t="shared" si="3"/>
        <v>77700</v>
      </c>
      <c r="S11">
        <f>S5</f>
        <v>3</v>
      </c>
      <c r="U11">
        <v>6</v>
      </c>
      <c r="V11" s="3">
        <v>6</v>
      </c>
      <c r="W11" s="17">
        <v>0.6</v>
      </c>
    </row>
    <row r="12" spans="1:32">
      <c r="A12" s="64"/>
      <c r="B12" s="63"/>
      <c r="C12" s="63"/>
      <c r="D12" s="63"/>
      <c r="E12" s="51"/>
      <c r="F12" s="67"/>
      <c r="G12" s="67"/>
      <c r="H12" s="67"/>
      <c r="I12" s="67"/>
      <c r="J12" s="67"/>
      <c r="K12" s="52"/>
      <c r="L12">
        <v>1.06</v>
      </c>
      <c r="M12">
        <v>7</v>
      </c>
      <c r="N12">
        <f t="shared" si="0"/>
        <v>82398.938192726593</v>
      </c>
      <c r="O12" s="3">
        <f t="shared" si="1"/>
        <v>824</v>
      </c>
      <c r="P12" s="3">
        <f t="shared" si="2"/>
        <v>2017</v>
      </c>
      <c r="Q12">
        <f t="shared" si="3"/>
        <v>82400</v>
      </c>
      <c r="S12">
        <f>S5</f>
        <v>3</v>
      </c>
      <c r="U12">
        <v>7</v>
      </c>
      <c r="V12" s="3">
        <v>7</v>
      </c>
      <c r="W12" s="17">
        <v>0.7</v>
      </c>
    </row>
    <row r="13" spans="1:32" ht="15" customHeight="1">
      <c r="A13" s="64"/>
      <c r="B13" s="63"/>
      <c r="C13" s="63"/>
      <c r="D13" s="63"/>
      <c r="E13" s="51"/>
      <c r="F13" s="67"/>
      <c r="G13" s="67"/>
      <c r="H13" s="67"/>
      <c r="I13" s="67"/>
      <c r="J13" s="67"/>
      <c r="K13" s="52"/>
      <c r="L13">
        <v>1.06</v>
      </c>
      <c r="M13">
        <v>8</v>
      </c>
      <c r="N13">
        <f t="shared" si="0"/>
        <v>87342.874484290194</v>
      </c>
      <c r="O13" s="3">
        <f t="shared" si="1"/>
        <v>873</v>
      </c>
      <c r="P13" s="3">
        <f t="shared" si="2"/>
        <v>2018</v>
      </c>
      <c r="Q13">
        <f t="shared" si="3"/>
        <v>87300</v>
      </c>
      <c r="S13">
        <f>S5</f>
        <v>3</v>
      </c>
      <c r="V13" s="3">
        <v>8</v>
      </c>
      <c r="W13" s="17">
        <v>0.8</v>
      </c>
    </row>
    <row r="14" spans="1:32">
      <c r="A14" s="64"/>
      <c r="B14" s="63"/>
      <c r="C14" s="63"/>
      <c r="D14" s="63"/>
      <c r="E14" s="51"/>
      <c r="F14" s="67"/>
      <c r="G14" s="67"/>
      <c r="H14" s="67"/>
      <c r="I14" s="67"/>
      <c r="J14" s="67"/>
      <c r="K14" s="52"/>
      <c r="L14">
        <v>1.06</v>
      </c>
      <c r="M14">
        <v>9</v>
      </c>
      <c r="N14">
        <f t="shared" si="0"/>
        <v>92583.446953347593</v>
      </c>
      <c r="O14" s="3">
        <f t="shared" si="1"/>
        <v>926</v>
      </c>
      <c r="P14" s="3">
        <f t="shared" si="2"/>
        <v>2019</v>
      </c>
      <c r="Q14">
        <f t="shared" si="3"/>
        <v>92600</v>
      </c>
      <c r="S14">
        <f>S5</f>
        <v>3</v>
      </c>
      <c r="V14" s="3">
        <v>9</v>
      </c>
      <c r="W14" s="17">
        <v>0.9</v>
      </c>
    </row>
    <row r="15" spans="1:32">
      <c r="A15" s="15" t="s">
        <v>14</v>
      </c>
      <c r="B15" s="16" t="s">
        <v>15</v>
      </c>
      <c r="C15" s="47"/>
      <c r="D15" s="48"/>
      <c r="E15" s="51"/>
      <c r="F15" s="67"/>
      <c r="G15" s="67"/>
      <c r="H15" s="67"/>
      <c r="I15" s="67"/>
      <c r="J15" s="67"/>
      <c r="K15" s="52"/>
      <c r="L15">
        <v>1.06</v>
      </c>
      <c r="M15">
        <v>10</v>
      </c>
      <c r="N15">
        <f t="shared" ref="N15:N26" si="4">54800*POWER(L15,M15)</f>
        <v>98138.453770548396</v>
      </c>
      <c r="O15" s="3">
        <f t="shared" ref="O15:O26" si="5">ROUND(N15/100,3)</f>
        <v>981</v>
      </c>
      <c r="P15" s="3">
        <f t="shared" ref="P15:P26" si="6">2010+M15</f>
        <v>2020</v>
      </c>
      <c r="Q15">
        <f t="shared" ref="Q15:Q62" si="7">O15*100</f>
        <v>98100</v>
      </c>
    </row>
    <row r="16" spans="1:32">
      <c r="A16" s="33">
        <v>3</v>
      </c>
      <c r="B16" s="34">
        <v>0</v>
      </c>
      <c r="C16" s="41"/>
      <c r="D16" s="43"/>
      <c r="E16" s="51"/>
      <c r="F16" s="68"/>
      <c r="G16" s="68"/>
      <c r="H16" s="68"/>
      <c r="I16" s="68"/>
      <c r="J16" s="68"/>
      <c r="K16" s="52"/>
      <c r="L16">
        <v>1.06</v>
      </c>
      <c r="M16">
        <v>11</v>
      </c>
      <c r="N16">
        <f t="shared" si="4"/>
        <v>104026.760996781</v>
      </c>
      <c r="O16" s="3">
        <f t="shared" si="5"/>
        <v>1040</v>
      </c>
      <c r="P16" s="3">
        <f t="shared" si="6"/>
        <v>2021</v>
      </c>
      <c r="Q16">
        <f t="shared" si="7"/>
        <v>104000</v>
      </c>
    </row>
    <row r="17" spans="1:17">
      <c r="A17" s="78" t="s">
        <v>35</v>
      </c>
      <c r="B17" s="79"/>
      <c r="C17" s="79"/>
      <c r="D17" s="80"/>
      <c r="E17" s="51"/>
      <c r="F17" s="68"/>
      <c r="G17" s="68"/>
      <c r="H17" s="68"/>
      <c r="I17" s="68"/>
      <c r="J17" s="68"/>
      <c r="K17" s="52"/>
      <c r="L17">
        <v>1.06</v>
      </c>
      <c r="M17">
        <v>12</v>
      </c>
      <c r="N17">
        <f t="shared" si="4"/>
        <v>110268.366656588</v>
      </c>
      <c r="O17" s="3">
        <f t="shared" si="5"/>
        <v>1103</v>
      </c>
      <c r="P17" s="3">
        <f t="shared" si="6"/>
        <v>2022</v>
      </c>
      <c r="Q17">
        <f t="shared" si="7"/>
        <v>110300</v>
      </c>
    </row>
    <row r="18" spans="1:17">
      <c r="A18" s="81"/>
      <c r="B18" s="82"/>
      <c r="C18" s="82"/>
      <c r="D18" s="83"/>
      <c r="E18" s="51"/>
      <c r="F18" s="68"/>
      <c r="G18" s="68"/>
      <c r="H18" s="68"/>
      <c r="I18" s="68"/>
      <c r="J18" s="68"/>
      <c r="K18" s="52"/>
      <c r="L18">
        <v>1.06</v>
      </c>
      <c r="M18">
        <v>13</v>
      </c>
      <c r="N18">
        <f t="shared" si="4"/>
        <v>116884.468655984</v>
      </c>
      <c r="O18" s="3">
        <f t="shared" si="5"/>
        <v>1169</v>
      </c>
      <c r="P18" s="3">
        <f t="shared" si="6"/>
        <v>2023</v>
      </c>
      <c r="Q18">
        <f t="shared" si="7"/>
        <v>116900</v>
      </c>
    </row>
    <row r="19" spans="1:17" ht="30" customHeight="1">
      <c r="A19" s="69" t="s">
        <v>36</v>
      </c>
      <c r="B19" s="70"/>
      <c r="C19" s="70"/>
      <c r="D19" s="70"/>
      <c r="E19" s="51"/>
      <c r="F19" s="68"/>
      <c r="G19" s="68"/>
      <c r="H19" s="68"/>
      <c r="I19" s="68"/>
      <c r="J19" s="68"/>
      <c r="K19" s="52"/>
      <c r="L19">
        <v>1.06</v>
      </c>
      <c r="M19">
        <v>14</v>
      </c>
      <c r="N19">
        <f t="shared" si="4"/>
        <v>123897.536775343</v>
      </c>
      <c r="O19" s="3">
        <f t="shared" si="5"/>
        <v>1239</v>
      </c>
      <c r="P19" s="3">
        <f t="shared" si="6"/>
        <v>2024</v>
      </c>
      <c r="Q19">
        <f t="shared" si="7"/>
        <v>123900</v>
      </c>
    </row>
    <row r="20" spans="1:17" ht="15" customHeight="1">
      <c r="A20" s="71"/>
      <c r="B20" s="70"/>
      <c r="C20" s="70"/>
      <c r="D20" s="70"/>
      <c r="E20" s="51"/>
      <c r="F20" s="68"/>
      <c r="G20" s="68"/>
      <c r="H20" s="68"/>
      <c r="I20" s="68"/>
      <c r="J20" s="68"/>
      <c r="K20" s="53"/>
      <c r="L20">
        <v>1.06</v>
      </c>
      <c r="M20">
        <v>15</v>
      </c>
      <c r="N20">
        <f t="shared" si="4"/>
        <v>131331.38898186301</v>
      </c>
      <c r="O20" s="3">
        <f t="shared" si="5"/>
        <v>1313</v>
      </c>
      <c r="P20" s="3">
        <f t="shared" si="6"/>
        <v>2025</v>
      </c>
      <c r="Q20">
        <f t="shared" si="7"/>
        <v>131300</v>
      </c>
    </row>
    <row r="21" spans="1:17">
      <c r="A21" s="72"/>
      <c r="B21" s="73"/>
      <c r="C21" s="73"/>
      <c r="D21" s="73"/>
      <c r="E21" s="44"/>
      <c r="F21" s="45"/>
      <c r="G21" s="45"/>
      <c r="H21" s="45"/>
      <c r="I21" s="45"/>
      <c r="J21" s="45"/>
      <c r="K21" s="46"/>
      <c r="L21">
        <v>1.06</v>
      </c>
      <c r="M21">
        <v>16</v>
      </c>
      <c r="N21">
        <f t="shared" si="4"/>
        <v>139211.272320775</v>
      </c>
      <c r="O21" s="3">
        <f t="shared" si="5"/>
        <v>1392</v>
      </c>
      <c r="P21" s="3">
        <f t="shared" si="6"/>
        <v>2026</v>
      </c>
      <c r="Q21">
        <f t="shared" si="7"/>
        <v>139200</v>
      </c>
    </row>
    <row r="22" spans="1:17">
      <c r="A22" s="35"/>
      <c r="B22" s="35"/>
      <c r="C22" s="35"/>
      <c r="D22" s="35"/>
      <c r="E22" s="36"/>
      <c r="F22" s="35"/>
      <c r="G22" s="35"/>
      <c r="H22" s="35"/>
      <c r="I22" s="35"/>
      <c r="J22" s="35"/>
      <c r="K22" s="35"/>
      <c r="L22">
        <v>1.06</v>
      </c>
      <c r="M22">
        <v>17</v>
      </c>
      <c r="N22">
        <f t="shared" si="4"/>
        <v>147563.94866002101</v>
      </c>
      <c r="O22" s="3">
        <f t="shared" si="5"/>
        <v>1476</v>
      </c>
      <c r="P22" s="3">
        <f t="shared" si="6"/>
        <v>2027</v>
      </c>
      <c r="Q22">
        <f t="shared" si="7"/>
        <v>147600</v>
      </c>
    </row>
    <row r="23" spans="1:17">
      <c r="L23">
        <v>1.06</v>
      </c>
      <c r="M23">
        <v>18</v>
      </c>
      <c r="N23">
        <f t="shared" si="4"/>
        <v>156417.78557962301</v>
      </c>
      <c r="O23" s="3">
        <f t="shared" si="5"/>
        <v>1564</v>
      </c>
      <c r="P23" s="3">
        <f t="shared" si="6"/>
        <v>2028</v>
      </c>
      <c r="Q23">
        <f t="shared" si="7"/>
        <v>156400</v>
      </c>
    </row>
    <row r="24" spans="1:17">
      <c r="L24">
        <v>1.06</v>
      </c>
      <c r="M24">
        <v>19</v>
      </c>
      <c r="N24">
        <f t="shared" si="4"/>
        <v>165802.85271440001</v>
      </c>
      <c r="O24" s="3">
        <f t="shared" si="5"/>
        <v>1658</v>
      </c>
      <c r="P24" s="3">
        <f t="shared" si="6"/>
        <v>2029</v>
      </c>
      <c r="Q24">
        <f t="shared" si="7"/>
        <v>165800</v>
      </c>
    </row>
    <row r="25" spans="1:17">
      <c r="L25">
        <v>1.06</v>
      </c>
      <c r="M25">
        <v>20</v>
      </c>
      <c r="N25">
        <f t="shared" si="4"/>
        <v>175751.023877264</v>
      </c>
      <c r="O25" s="3">
        <f t="shared" si="5"/>
        <v>1758</v>
      </c>
      <c r="P25" s="3">
        <f t="shared" si="6"/>
        <v>2030</v>
      </c>
      <c r="Q25">
        <f t="shared" si="7"/>
        <v>175800</v>
      </c>
    </row>
    <row r="26" spans="1:17">
      <c r="L26">
        <v>1.06</v>
      </c>
      <c r="M26">
        <v>21</v>
      </c>
      <c r="N26">
        <f t="shared" si="4"/>
        <v>186296.08530989999</v>
      </c>
      <c r="O26" s="3">
        <f t="shared" si="5"/>
        <v>1863</v>
      </c>
      <c r="P26" s="3">
        <f t="shared" si="6"/>
        <v>2031</v>
      </c>
      <c r="Q26">
        <f t="shared" si="7"/>
        <v>186300</v>
      </c>
    </row>
    <row r="27" spans="1:17">
      <c r="L27">
        <f>L26</f>
        <v>1.06</v>
      </c>
      <c r="M27">
        <f>M26+1</f>
        <v>22</v>
      </c>
      <c r="N27">
        <f t="shared" ref="N27:N62" si="8">54800*POWER(L27,M27)</f>
        <v>197473.85042849401</v>
      </c>
      <c r="O27" s="3">
        <f t="shared" ref="O27:O62" si="9">ROUND(N27/100,3)</f>
        <v>1975</v>
      </c>
      <c r="P27" s="3">
        <f>P26+1</f>
        <v>2032</v>
      </c>
      <c r="Q27">
        <f t="shared" si="7"/>
        <v>197500</v>
      </c>
    </row>
    <row r="28" spans="1:17">
      <c r="L28">
        <f t="shared" ref="L28:L62" si="10">L27</f>
        <v>1.06</v>
      </c>
      <c r="M28">
        <f t="shared" ref="M28:M62" si="11">M27+1</f>
        <v>23</v>
      </c>
      <c r="N28">
        <f t="shared" si="8"/>
        <v>209322.281454204</v>
      </c>
      <c r="O28" s="3">
        <f t="shared" si="9"/>
        <v>2093</v>
      </c>
      <c r="P28" s="3">
        <f t="shared" ref="P28:P62" si="12">P27+1</f>
        <v>2033</v>
      </c>
      <c r="Q28">
        <f t="shared" si="7"/>
        <v>209300</v>
      </c>
    </row>
    <row r="29" spans="1:17">
      <c r="L29">
        <f t="shared" si="10"/>
        <v>1.06</v>
      </c>
      <c r="M29">
        <f t="shared" si="11"/>
        <v>24</v>
      </c>
      <c r="N29">
        <f t="shared" si="8"/>
        <v>221881.61834145599</v>
      </c>
      <c r="O29" s="3">
        <f t="shared" si="9"/>
        <v>2219</v>
      </c>
      <c r="P29" s="3">
        <f t="shared" si="12"/>
        <v>2034</v>
      </c>
      <c r="Q29">
        <f t="shared" si="7"/>
        <v>221900</v>
      </c>
    </row>
    <row r="30" spans="1:17">
      <c r="L30">
        <f t="shared" si="10"/>
        <v>1.06</v>
      </c>
      <c r="M30">
        <f t="shared" si="11"/>
        <v>25</v>
      </c>
      <c r="N30">
        <f t="shared" si="8"/>
        <v>235194.51544194299</v>
      </c>
      <c r="O30" s="3">
        <f t="shared" si="9"/>
        <v>2352</v>
      </c>
      <c r="P30" s="3">
        <f t="shared" si="12"/>
        <v>2035</v>
      </c>
      <c r="Q30">
        <f t="shared" si="7"/>
        <v>235200</v>
      </c>
    </row>
    <row r="31" spans="1:17">
      <c r="L31">
        <f t="shared" si="10"/>
        <v>1.06</v>
      </c>
      <c r="M31">
        <f t="shared" si="11"/>
        <v>26</v>
      </c>
      <c r="N31">
        <f t="shared" si="8"/>
        <v>249306.18636846001</v>
      </c>
      <c r="O31" s="3">
        <f t="shared" si="9"/>
        <v>2493</v>
      </c>
      <c r="P31" s="3">
        <f t="shared" si="12"/>
        <v>2036</v>
      </c>
      <c r="Q31">
        <f t="shared" si="7"/>
        <v>249300</v>
      </c>
    </row>
    <row r="32" spans="1:17">
      <c r="L32">
        <f t="shared" si="10"/>
        <v>1.06</v>
      </c>
      <c r="M32">
        <f t="shared" si="11"/>
        <v>27</v>
      </c>
      <c r="N32">
        <f t="shared" si="8"/>
        <v>264264.55755056703</v>
      </c>
      <c r="O32" s="3">
        <f t="shared" si="9"/>
        <v>2643</v>
      </c>
      <c r="P32" s="3">
        <f t="shared" si="12"/>
        <v>2037</v>
      </c>
      <c r="Q32">
        <f t="shared" si="7"/>
        <v>264300</v>
      </c>
    </row>
    <row r="33" spans="12:17">
      <c r="L33">
        <f t="shared" si="10"/>
        <v>1.06</v>
      </c>
      <c r="M33">
        <f t="shared" si="11"/>
        <v>28</v>
      </c>
      <c r="N33">
        <f t="shared" si="8"/>
        <v>280120.431003601</v>
      </c>
      <c r="O33" s="3">
        <f t="shared" si="9"/>
        <v>2801</v>
      </c>
      <c r="P33" s="3">
        <f t="shared" si="12"/>
        <v>2038</v>
      </c>
      <c r="Q33">
        <f t="shared" si="7"/>
        <v>280100</v>
      </c>
    </row>
    <row r="34" spans="12:17">
      <c r="L34">
        <f t="shared" si="10"/>
        <v>1.06</v>
      </c>
      <c r="M34">
        <f t="shared" si="11"/>
        <v>29</v>
      </c>
      <c r="N34">
        <f t="shared" si="8"/>
        <v>296927.656863818</v>
      </c>
      <c r="O34" s="3">
        <f t="shared" si="9"/>
        <v>2969</v>
      </c>
      <c r="P34" s="3">
        <f t="shared" si="12"/>
        <v>2039</v>
      </c>
      <c r="Q34">
        <f t="shared" si="7"/>
        <v>296900</v>
      </c>
    </row>
    <row r="35" spans="12:17">
      <c r="L35">
        <f t="shared" si="10"/>
        <v>1.06</v>
      </c>
      <c r="M35">
        <f t="shared" si="11"/>
        <v>30</v>
      </c>
      <c r="N35">
        <f t="shared" si="8"/>
        <v>314743.31627564703</v>
      </c>
      <c r="O35" s="3">
        <f t="shared" si="9"/>
        <v>3147</v>
      </c>
      <c r="P35" s="3">
        <f t="shared" si="12"/>
        <v>2040</v>
      </c>
      <c r="Q35">
        <f t="shared" si="7"/>
        <v>314700</v>
      </c>
    </row>
    <row r="36" spans="12:17">
      <c r="L36">
        <f t="shared" si="10"/>
        <v>1.06</v>
      </c>
      <c r="M36">
        <f t="shared" si="11"/>
        <v>31</v>
      </c>
      <c r="N36">
        <f t="shared" si="8"/>
        <v>333627.91525218502</v>
      </c>
      <c r="O36" s="3">
        <f t="shared" si="9"/>
        <v>3336</v>
      </c>
      <c r="P36" s="3">
        <f t="shared" si="12"/>
        <v>2041</v>
      </c>
      <c r="Q36">
        <f t="shared" si="7"/>
        <v>333600</v>
      </c>
    </row>
    <row r="37" spans="12:17">
      <c r="L37">
        <f t="shared" si="10"/>
        <v>1.06</v>
      </c>
      <c r="M37">
        <f t="shared" si="11"/>
        <v>32</v>
      </c>
      <c r="N37">
        <f t="shared" si="8"/>
        <v>353645.59016731702</v>
      </c>
      <c r="O37" s="3">
        <f t="shared" si="9"/>
        <v>3536</v>
      </c>
      <c r="P37" s="3">
        <f t="shared" si="12"/>
        <v>2042</v>
      </c>
      <c r="Q37">
        <f t="shared" si="7"/>
        <v>353600</v>
      </c>
    </row>
    <row r="38" spans="12:17">
      <c r="L38">
        <f t="shared" si="10"/>
        <v>1.06</v>
      </c>
      <c r="M38">
        <f t="shared" si="11"/>
        <v>33</v>
      </c>
      <c r="N38">
        <f t="shared" si="8"/>
        <v>374864.32557735598</v>
      </c>
      <c r="O38" s="3">
        <f t="shared" si="9"/>
        <v>3749</v>
      </c>
      <c r="P38" s="3">
        <f t="shared" si="12"/>
        <v>2043</v>
      </c>
      <c r="Q38">
        <f t="shared" si="7"/>
        <v>374900</v>
      </c>
    </row>
    <row r="39" spans="12:17">
      <c r="L39">
        <f t="shared" si="10"/>
        <v>1.06</v>
      </c>
      <c r="M39">
        <f t="shared" si="11"/>
        <v>34</v>
      </c>
      <c r="N39">
        <f t="shared" si="8"/>
        <v>397356.18511199701</v>
      </c>
      <c r="O39" s="3">
        <f t="shared" si="9"/>
        <v>3974</v>
      </c>
      <c r="P39" s="3">
        <f t="shared" si="12"/>
        <v>2044</v>
      </c>
      <c r="Q39">
        <f t="shared" si="7"/>
        <v>397400</v>
      </c>
    </row>
    <row r="40" spans="12:17">
      <c r="L40">
        <f t="shared" si="10"/>
        <v>1.06</v>
      </c>
      <c r="M40">
        <f t="shared" si="11"/>
        <v>35</v>
      </c>
      <c r="N40">
        <f t="shared" si="8"/>
        <v>421197.55621871701</v>
      </c>
      <c r="O40" s="3">
        <f t="shared" si="9"/>
        <v>4212</v>
      </c>
      <c r="P40" s="3">
        <f t="shared" si="12"/>
        <v>2045</v>
      </c>
      <c r="Q40">
        <f t="shared" si="7"/>
        <v>421200</v>
      </c>
    </row>
    <row r="41" spans="12:17">
      <c r="L41">
        <f t="shared" si="10"/>
        <v>1.06</v>
      </c>
      <c r="M41">
        <f t="shared" si="11"/>
        <v>36</v>
      </c>
      <c r="N41">
        <f t="shared" si="8"/>
        <v>446469.40959184</v>
      </c>
      <c r="O41" s="3">
        <f t="shared" si="9"/>
        <v>4465</v>
      </c>
      <c r="P41" s="3">
        <f t="shared" si="12"/>
        <v>2046</v>
      </c>
      <c r="Q41">
        <f t="shared" si="7"/>
        <v>446500</v>
      </c>
    </row>
    <row r="42" spans="12:17">
      <c r="L42">
        <f t="shared" si="10"/>
        <v>1.06</v>
      </c>
      <c r="M42">
        <f t="shared" si="11"/>
        <v>37</v>
      </c>
      <c r="N42">
        <f t="shared" si="8"/>
        <v>473257.57416735002</v>
      </c>
      <c r="O42" s="3">
        <f t="shared" si="9"/>
        <v>4733</v>
      </c>
      <c r="P42" s="3">
        <f t="shared" si="12"/>
        <v>2047</v>
      </c>
      <c r="Q42">
        <f t="shared" si="7"/>
        <v>473300</v>
      </c>
    </row>
    <row r="43" spans="12:17">
      <c r="L43">
        <f t="shared" si="10"/>
        <v>1.06</v>
      </c>
      <c r="M43">
        <f t="shared" si="11"/>
        <v>38</v>
      </c>
      <c r="N43">
        <f t="shared" si="8"/>
        <v>501653.02861739101</v>
      </c>
      <c r="O43" s="3">
        <f t="shared" si="9"/>
        <v>5017</v>
      </c>
      <c r="P43" s="3">
        <f t="shared" si="12"/>
        <v>2048</v>
      </c>
      <c r="Q43">
        <f t="shared" si="7"/>
        <v>501700</v>
      </c>
    </row>
    <row r="44" spans="12:17">
      <c r="L44">
        <f t="shared" si="10"/>
        <v>1.06</v>
      </c>
      <c r="M44">
        <f t="shared" si="11"/>
        <v>39</v>
      </c>
      <c r="N44">
        <f t="shared" si="8"/>
        <v>531752.21033443499</v>
      </c>
      <c r="O44" s="3">
        <f t="shared" si="9"/>
        <v>5318</v>
      </c>
      <c r="P44" s="3">
        <f t="shared" si="12"/>
        <v>2049</v>
      </c>
      <c r="Q44">
        <f t="shared" si="7"/>
        <v>531800</v>
      </c>
    </row>
    <row r="45" spans="12:17">
      <c r="L45">
        <f t="shared" si="10"/>
        <v>1.06</v>
      </c>
      <c r="M45">
        <f t="shared" si="11"/>
        <v>40</v>
      </c>
      <c r="N45">
        <f t="shared" si="8"/>
        <v>563657.34295450104</v>
      </c>
      <c r="O45" s="3">
        <f t="shared" si="9"/>
        <v>5637</v>
      </c>
      <c r="P45" s="3">
        <f t="shared" si="12"/>
        <v>2050</v>
      </c>
      <c r="Q45">
        <f t="shared" si="7"/>
        <v>563700</v>
      </c>
    </row>
    <row r="46" spans="12:17">
      <c r="L46">
        <f t="shared" si="10"/>
        <v>1.06</v>
      </c>
      <c r="M46">
        <f t="shared" si="11"/>
        <v>41</v>
      </c>
      <c r="N46">
        <f t="shared" si="8"/>
        <v>597476.78353177104</v>
      </c>
      <c r="O46" s="3">
        <f t="shared" si="9"/>
        <v>5975</v>
      </c>
      <c r="P46" s="3">
        <f t="shared" si="12"/>
        <v>2051</v>
      </c>
      <c r="Q46">
        <f t="shared" si="7"/>
        <v>597500</v>
      </c>
    </row>
    <row r="47" spans="12:17">
      <c r="L47">
        <f t="shared" si="10"/>
        <v>1.06</v>
      </c>
      <c r="M47">
        <f t="shared" si="11"/>
        <v>42</v>
      </c>
      <c r="N47">
        <f t="shared" si="8"/>
        <v>633325.39054367703</v>
      </c>
      <c r="O47" s="3">
        <f t="shared" si="9"/>
        <v>6333</v>
      </c>
      <c r="P47" s="3">
        <f t="shared" si="12"/>
        <v>2052</v>
      </c>
      <c r="Q47">
        <f t="shared" si="7"/>
        <v>633300</v>
      </c>
    </row>
    <row r="48" spans="12:17">
      <c r="L48">
        <f t="shared" si="10"/>
        <v>1.06</v>
      </c>
      <c r="M48">
        <f t="shared" si="11"/>
        <v>43</v>
      </c>
      <c r="N48">
        <f t="shared" si="8"/>
        <v>671324.91397629795</v>
      </c>
      <c r="O48" s="3">
        <f t="shared" si="9"/>
        <v>6713</v>
      </c>
      <c r="P48" s="3">
        <f t="shared" si="12"/>
        <v>2053</v>
      </c>
      <c r="Q48">
        <f t="shared" si="7"/>
        <v>671300</v>
      </c>
    </row>
    <row r="49" spans="12:17">
      <c r="L49">
        <f t="shared" si="10"/>
        <v>1.06</v>
      </c>
      <c r="M49">
        <f t="shared" si="11"/>
        <v>44</v>
      </c>
      <c r="N49">
        <f t="shared" si="8"/>
        <v>711604.40881487599</v>
      </c>
      <c r="O49" s="3">
        <f t="shared" si="9"/>
        <v>7116</v>
      </c>
      <c r="P49" s="3">
        <f t="shared" si="12"/>
        <v>2054</v>
      </c>
      <c r="Q49">
        <f t="shared" si="7"/>
        <v>711600</v>
      </c>
    </row>
    <row r="50" spans="12:17">
      <c r="L50">
        <f t="shared" si="10"/>
        <v>1.06</v>
      </c>
      <c r="M50">
        <f t="shared" si="11"/>
        <v>45</v>
      </c>
      <c r="N50">
        <f t="shared" si="8"/>
        <v>754300.67334376799</v>
      </c>
      <c r="O50" s="3">
        <f t="shared" si="9"/>
        <v>7543</v>
      </c>
      <c r="P50" s="3">
        <f t="shared" si="12"/>
        <v>2055</v>
      </c>
      <c r="Q50">
        <f t="shared" si="7"/>
        <v>754300</v>
      </c>
    </row>
    <row r="51" spans="12:17">
      <c r="L51">
        <f t="shared" si="10"/>
        <v>1.06</v>
      </c>
      <c r="M51">
        <f t="shared" si="11"/>
        <v>46</v>
      </c>
      <c r="N51">
        <f t="shared" si="8"/>
        <v>799558.71374439495</v>
      </c>
      <c r="O51" s="3">
        <f t="shared" si="9"/>
        <v>7996</v>
      </c>
      <c r="P51" s="3">
        <f t="shared" si="12"/>
        <v>2056</v>
      </c>
      <c r="Q51">
        <f t="shared" si="7"/>
        <v>799600</v>
      </c>
    </row>
    <row r="52" spans="12:17">
      <c r="L52">
        <f t="shared" si="10"/>
        <v>1.06</v>
      </c>
      <c r="M52">
        <f t="shared" si="11"/>
        <v>47</v>
      </c>
      <c r="N52">
        <f t="shared" si="8"/>
        <v>847532.23656905803</v>
      </c>
      <c r="O52" s="3">
        <f t="shared" si="9"/>
        <v>8475</v>
      </c>
      <c r="P52" s="3">
        <f t="shared" si="12"/>
        <v>2057</v>
      </c>
      <c r="Q52">
        <f t="shared" si="7"/>
        <v>847500</v>
      </c>
    </row>
    <row r="53" spans="12:17">
      <c r="L53">
        <f t="shared" si="10"/>
        <v>1.06</v>
      </c>
      <c r="M53">
        <f t="shared" si="11"/>
        <v>48</v>
      </c>
      <c r="N53">
        <f t="shared" si="8"/>
        <v>898384.17076320201</v>
      </c>
      <c r="O53" s="3">
        <f t="shared" si="9"/>
        <v>8984</v>
      </c>
      <c r="P53" s="3">
        <f t="shared" si="12"/>
        <v>2058</v>
      </c>
      <c r="Q53">
        <f t="shared" si="7"/>
        <v>898400</v>
      </c>
    </row>
    <row r="54" spans="12:17">
      <c r="L54">
        <f t="shared" si="10"/>
        <v>1.06</v>
      </c>
      <c r="M54">
        <f t="shared" si="11"/>
        <v>49</v>
      </c>
      <c r="N54">
        <f t="shared" si="8"/>
        <v>952287.22100899403</v>
      </c>
      <c r="O54" s="3">
        <f t="shared" si="9"/>
        <v>9523</v>
      </c>
      <c r="P54" s="3">
        <f t="shared" si="12"/>
        <v>2059</v>
      </c>
      <c r="Q54">
        <f t="shared" si="7"/>
        <v>952300</v>
      </c>
    </row>
    <row r="55" spans="12:17">
      <c r="L55">
        <f t="shared" si="10"/>
        <v>1.06</v>
      </c>
      <c r="M55">
        <f t="shared" si="11"/>
        <v>50</v>
      </c>
      <c r="N55">
        <f t="shared" si="8"/>
        <v>1009424.45426953</v>
      </c>
      <c r="O55" s="3">
        <f t="shared" si="9"/>
        <v>10094</v>
      </c>
      <c r="P55" s="3">
        <f t="shared" si="12"/>
        <v>2060</v>
      </c>
      <c r="Q55">
        <f t="shared" si="7"/>
        <v>1009400</v>
      </c>
    </row>
    <row r="56" spans="12:17">
      <c r="L56">
        <f t="shared" si="10"/>
        <v>1.06</v>
      </c>
      <c r="M56">
        <f t="shared" si="11"/>
        <v>51</v>
      </c>
      <c r="N56">
        <f t="shared" si="8"/>
        <v>1069989.92152571</v>
      </c>
      <c r="O56" s="3">
        <f t="shared" si="9"/>
        <v>10700</v>
      </c>
      <c r="P56" s="3">
        <f t="shared" si="12"/>
        <v>2061</v>
      </c>
      <c r="Q56">
        <f t="shared" si="7"/>
        <v>1070000</v>
      </c>
    </row>
    <row r="57" spans="12:17">
      <c r="L57">
        <f t="shared" si="10"/>
        <v>1.06</v>
      </c>
      <c r="M57">
        <f t="shared" si="11"/>
        <v>52</v>
      </c>
      <c r="N57">
        <f t="shared" si="8"/>
        <v>1134189.3168172501</v>
      </c>
      <c r="O57" s="3">
        <f t="shared" si="9"/>
        <v>11342</v>
      </c>
      <c r="P57" s="3">
        <f t="shared" si="12"/>
        <v>2062</v>
      </c>
      <c r="Q57">
        <f t="shared" si="7"/>
        <v>1134200</v>
      </c>
    </row>
    <row r="58" spans="12:17">
      <c r="L58">
        <f t="shared" si="10"/>
        <v>1.06</v>
      </c>
      <c r="M58">
        <f t="shared" si="11"/>
        <v>53</v>
      </c>
      <c r="N58">
        <f t="shared" si="8"/>
        <v>1202240.6758262799</v>
      </c>
      <c r="O58" s="3">
        <f t="shared" si="9"/>
        <v>12022</v>
      </c>
      <c r="P58" s="3">
        <f t="shared" si="12"/>
        <v>2063</v>
      </c>
      <c r="Q58">
        <f t="shared" si="7"/>
        <v>1202200</v>
      </c>
    </row>
    <row r="59" spans="12:17">
      <c r="L59">
        <f t="shared" si="10"/>
        <v>1.06</v>
      </c>
      <c r="M59">
        <f t="shared" si="11"/>
        <v>54</v>
      </c>
      <c r="N59">
        <f t="shared" si="8"/>
        <v>1274375.1163758601</v>
      </c>
      <c r="O59" s="3">
        <f t="shared" si="9"/>
        <v>12744</v>
      </c>
      <c r="P59" s="3">
        <f t="shared" si="12"/>
        <v>2064</v>
      </c>
      <c r="Q59">
        <f t="shared" si="7"/>
        <v>1274400</v>
      </c>
    </row>
    <row r="60" spans="12:17">
      <c r="L60">
        <f t="shared" si="10"/>
        <v>1.06</v>
      </c>
      <c r="M60">
        <f t="shared" si="11"/>
        <v>55</v>
      </c>
      <c r="N60">
        <f t="shared" si="8"/>
        <v>1350837.6233584101</v>
      </c>
      <c r="O60" s="3">
        <f t="shared" si="9"/>
        <v>13508</v>
      </c>
      <c r="P60" s="3">
        <f t="shared" si="12"/>
        <v>2065</v>
      </c>
      <c r="Q60">
        <f t="shared" si="7"/>
        <v>1350800</v>
      </c>
    </row>
    <row r="61" spans="12:17">
      <c r="L61">
        <f t="shared" si="10"/>
        <v>1.06</v>
      </c>
      <c r="M61">
        <f t="shared" si="11"/>
        <v>56</v>
      </c>
      <c r="N61">
        <f t="shared" si="8"/>
        <v>1431887.88075992</v>
      </c>
      <c r="O61" s="3">
        <f t="shared" si="9"/>
        <v>14319</v>
      </c>
      <c r="P61" s="3">
        <f t="shared" si="12"/>
        <v>2066</v>
      </c>
      <c r="Q61">
        <f t="shared" si="7"/>
        <v>1431900</v>
      </c>
    </row>
    <row r="62" spans="12:17">
      <c r="L62">
        <f t="shared" si="10"/>
        <v>1.06</v>
      </c>
      <c r="M62">
        <f t="shared" si="11"/>
        <v>57</v>
      </c>
      <c r="N62">
        <f t="shared" si="8"/>
        <v>1517801.15360551</v>
      </c>
      <c r="O62" s="3">
        <f t="shared" si="9"/>
        <v>15178</v>
      </c>
      <c r="P62" s="3">
        <f t="shared" si="12"/>
        <v>2067</v>
      </c>
      <c r="Q62">
        <f t="shared" si="7"/>
        <v>1517800</v>
      </c>
    </row>
  </sheetData>
  <sheetProtection selectLockedCells="1"/>
  <mergeCells count="10">
    <mergeCell ref="A2:K2"/>
    <mergeCell ref="J3:K3"/>
    <mergeCell ref="A11:D14"/>
    <mergeCell ref="A9:C10"/>
    <mergeCell ref="F9:J20"/>
    <mergeCell ref="A19:D21"/>
    <mergeCell ref="D3:E3"/>
    <mergeCell ref="A3:B3"/>
    <mergeCell ref="H3:I3"/>
    <mergeCell ref="A17:D18"/>
  </mergeCells>
  <phoneticPr fontId="0" type="noConversion"/>
  <dataValidations xWindow="307" yWindow="401" count="11">
    <dataValidation type="decimal" showInputMessage="1" showErrorMessage="1" sqref="W5:W14">
      <formula1>0</formula1>
      <formula2>0.9</formula2>
    </dataValidation>
    <dataValidation type="whole" allowBlank="1" showInputMessage="1" showErrorMessage="1" promptTitle="Age at End of Current Year" prompt="Enter Age in Years" sqref="C3">
      <formula1>14</formula1>
      <formula2>100</formula2>
    </dataValidation>
    <dataValidation type="list" allowBlank="1" showInputMessage="1" showErrorMessage="1" sqref="F3">
      <formula1>$U$5:$U$12</formula1>
    </dataValidation>
    <dataValidation type="list" allowBlank="1" showInputMessage="1" showErrorMessage="1" promptTitle="Expected Retirement Year" prompt="Calendar Year of Anticipated Retirement" sqref="E6:E7">
      <formula1>$P$5:$P$62</formula1>
    </dataValidation>
    <dataValidation type="whole" showInputMessage="1" showErrorMessage="1" sqref="V8:V14">
      <formula1>0</formula1>
      <formula2>9</formula2>
    </dataValidation>
    <dataValidation type="list" showInputMessage="1" showErrorMessage="1" promptTitle="Assumed Average Wage Increase" prompt="Whole Percentage" sqref="A16">
      <formula1>$V$5:$V$14</formula1>
    </dataValidation>
    <dataValidation type="list" showInputMessage="1" showErrorMessage="1" promptTitle="Assumed Average Wage Increase" prompt="Additional 10nths of Percent" sqref="B16">
      <formula1>$W$5:$W$14</formula1>
    </dataValidation>
    <dataValidation type="whole" showInputMessage="1" showErrorMessage="1" promptTitle="Full Years of Service" prompt="As of 12/31 of this Year" sqref="C5:C7">
      <formula1>0</formula1>
      <formula2>100</formula2>
    </dataValidation>
    <dataValidation type="list" showInputMessage="1" showErrorMessage="1" promptTitle="Current Year" prompt="Use all 4 Digits" sqref="J3:K3">
      <formula1>$P$5:$P$26</formula1>
    </dataValidation>
    <dataValidation type="whole" allowBlank="1" showInputMessage="1" showErrorMessage="1" promptTitle="Current Final Average Earnings" prompt="Estimate Average of Highest 3 years so Far in Career" sqref="A5:A7">
      <formula1>0</formula1>
      <formula2>100000000</formula2>
    </dataValidation>
    <dataValidation type="list" allowBlank="1" showInputMessage="1" showErrorMessage="1" promptTitle="Expected Retirement Year" prompt="Calendar Year of Anticipated Retirement" sqref="E5">
      <formula1>$P$5:$P$62</formula1>
    </dataValidation>
  </dataValidations>
  <pageMargins left="1" right="1" top="1" bottom="1" header="0.5" footer="0.5"/>
  <pageSetup paperSize="5" orientation="landscape" r:id="rId1"/>
  <headerFooter>
    <oddHeader>&amp;CSEBAC Internal Union Material</oddHeader>
    <oddFooter xml:space="preserve">&amp;CCalculator for illustrative purposes, and should not replace individual calculations for more accurate estimation of retirement income.
   Calulator illustrates only initial pension, and does not include COLAs.   </oddFooter>
  </headerFooter>
  <tableParts count="1">
    <tablePart r:id="rId2"/>
  </tableParts>
</worksheet>
</file>

<file path=xl/worksheets/sheet2.xml><?xml version="1.0" encoding="utf-8"?>
<worksheet xmlns="http://schemas.openxmlformats.org/spreadsheetml/2006/main" xmlns:r="http://schemas.openxmlformats.org/officeDocument/2006/relationships">
  <dimension ref="C13:K17"/>
  <sheetViews>
    <sheetView workbookViewId="0">
      <selection activeCell="B1" sqref="B1:K65536"/>
    </sheetView>
  </sheetViews>
  <sheetFormatPr defaultRowHeight="15"/>
  <cols>
    <col min="2" max="2" width="0" hidden="1" customWidth="1"/>
    <col min="3" max="8" width="9.140625" hidden="1" customWidth="1"/>
    <col min="9" max="9" width="9.140625" style="11" hidden="1" customWidth="1"/>
    <col min="10" max="11" width="9.140625" hidden="1" customWidth="1"/>
  </cols>
  <sheetData>
    <row r="13" spans="3:11">
      <c r="C13" t="s">
        <v>4</v>
      </c>
      <c r="D13" t="s">
        <v>5</v>
      </c>
      <c r="E13" t="s">
        <v>6</v>
      </c>
      <c r="F13" t="s">
        <v>7</v>
      </c>
      <c r="G13" t="s">
        <v>8</v>
      </c>
      <c r="H13" t="s">
        <v>9</v>
      </c>
      <c r="I13" s="11" t="s">
        <v>10</v>
      </c>
      <c r="J13" t="s">
        <v>11</v>
      </c>
      <c r="K13" t="s">
        <v>12</v>
      </c>
    </row>
    <row r="14" spans="3:11">
      <c r="C14">
        <v>58</v>
      </c>
      <c r="D14" s="11" t="e">
        <f ca="1">'Tier II or IIA Calculator'!#REF!</f>
        <v>#REF!</v>
      </c>
      <c r="E14" s="3" t="e">
        <f ca="1">'Tier II or IIA Calculator'!#REF!</f>
        <v>#REF!</v>
      </c>
      <c r="F14" s="3" t="e">
        <f ca="1">E14-'Tier II or IIA Calculator'!J3</f>
        <v>#REF!</v>
      </c>
      <c r="G14" t="e">
        <f>C14+F14</f>
        <v>#REF!</v>
      </c>
      <c r="H14" t="e">
        <f>D14+F14</f>
        <v>#REF!</v>
      </c>
      <c r="I14" s="11" t="e">
        <f>IF(G14&lt;60,0,IF(G14&lt;62,1,IF(G14&lt;70,2.5,5)))</f>
        <v>#REF!</v>
      </c>
      <c r="J14" t="e">
        <f>H14*I14</f>
        <v>#REF!</v>
      </c>
      <c r="K14" t="e">
        <f>IF(J14&gt;=25,E14,"Not Eligible")</f>
        <v>#REF!</v>
      </c>
    </row>
    <row r="15" spans="3:11">
      <c r="C15">
        <f ca="1">'Tier II or IIA Calculator'!C3</f>
        <v>0</v>
      </c>
      <c r="D15" s="11">
        <f ca="1">'Tier II or IIA Calculator'!C5</f>
        <v>0</v>
      </c>
      <c r="E15" s="3">
        <f ca="1">'Tier II or IIA Calculator'!E5</f>
        <v>0</v>
      </c>
      <c r="F15" s="3">
        <f ca="1">E15-'Tier II or IIA Calculator'!J3</f>
        <v>-2010</v>
      </c>
      <c r="G15">
        <f>C15+F15</f>
        <v>-2010</v>
      </c>
      <c r="H15">
        <f>D15+F15</f>
        <v>-2010</v>
      </c>
      <c r="I15" s="11">
        <f>IF(G15&lt;60,0,IF(G15&lt;62,1,IF(G15&lt;70,2.5,5)))</f>
        <v>0</v>
      </c>
      <c r="J15">
        <f>H15*I15</f>
        <v>0</v>
      </c>
      <c r="K15" t="str">
        <f>IF(J15&gt;=25,E15,"Not Eligible")</f>
        <v>Not Eligible</v>
      </c>
    </row>
    <row r="16" spans="3:11">
      <c r="C16">
        <f ca="1">C15</f>
        <v>0</v>
      </c>
      <c r="D16" s="11">
        <f ca="1">'Tier II or IIA Calculator'!C6</f>
        <v>0</v>
      </c>
      <c r="E16" s="3">
        <f ca="1">'Tier II or IIA Calculator'!E6</f>
        <v>0</v>
      </c>
      <c r="F16" s="3">
        <f ca="1">E16-'Tier II or IIA Calculator'!J3</f>
        <v>-2010</v>
      </c>
      <c r="G16">
        <f>C16+F16</f>
        <v>-2010</v>
      </c>
      <c r="H16">
        <f>D16+F16</f>
        <v>-2010</v>
      </c>
      <c r="I16" s="11">
        <f>IF(G16&lt;60,0,IF(G16&lt;62,1,IF(G16&lt;70,2.5,5)))</f>
        <v>0</v>
      </c>
      <c r="J16">
        <f>H16*I16</f>
        <v>0</v>
      </c>
      <c r="K16" t="str">
        <f>IF(J16&gt;=25,E16,"Not Eligible")</f>
        <v>Not Eligible</v>
      </c>
    </row>
    <row r="17" spans="3:11">
      <c r="C17">
        <f ca="1">C15</f>
        <v>0</v>
      </c>
      <c r="D17" s="11">
        <f ca="1">'Tier II or IIA Calculator'!C7</f>
        <v>0</v>
      </c>
      <c r="E17" s="3">
        <f ca="1">'Tier II or IIA Calculator'!E7</f>
        <v>0</v>
      </c>
      <c r="F17" s="3">
        <f ca="1">E17-'Tier II or IIA Calculator'!J3</f>
        <v>-2010</v>
      </c>
      <c r="G17">
        <f>C17+F17</f>
        <v>-2010</v>
      </c>
      <c r="H17">
        <f>D17+F17</f>
        <v>-2010</v>
      </c>
      <c r="I17" s="11">
        <f>IF(G17&lt;60,0,IF(G17&lt;62,1,IF(G17&lt;70,2.5,5)))</f>
        <v>0</v>
      </c>
      <c r="J17">
        <f>H17*I17</f>
        <v>0</v>
      </c>
      <c r="K17" t="str">
        <f>IF(J17&gt;=25,E17,"Not Eligible")</f>
        <v>Not Eligible</v>
      </c>
    </row>
  </sheetData>
  <sheetProtection password="8410" sheet="1" objects="1" scenarios="1" selectLockedCells="1" selectUnlockedCells="1"/>
  <phoneticPr fontId="0" type="noConversion"/>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Tier II or IIA Calculator</vt:lpstr>
      <vt:lpstr>Full Ret. Elib. Tester</vt:lpstr>
    </vt:vector>
  </TitlesOfParts>
  <Company>LAPM&amp;K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E. Livingston</dc:creator>
  <cp:lastModifiedBy>CJUDD</cp:lastModifiedBy>
  <cp:lastPrinted>2010-10-05T01:46:53Z</cp:lastPrinted>
  <dcterms:created xsi:type="dcterms:W3CDTF">2010-09-30T18:52:53Z</dcterms:created>
  <dcterms:modified xsi:type="dcterms:W3CDTF">2010-10-13T18:46:04Z</dcterms:modified>
</cp:coreProperties>
</file>